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owenrobinson/Downloads/"/>
    </mc:Choice>
  </mc:AlternateContent>
  <xr:revisionPtr revIDLastSave="0" documentId="8_{A528184D-7CE0-8B4B-8C01-263432CFD240}" xr6:coauthVersionLast="47" xr6:coauthVersionMax="47" xr10:uidLastSave="{00000000-0000-0000-0000-000000000000}"/>
  <bookViews>
    <workbookView xWindow="20" yWindow="660" windowWidth="29400" windowHeight="17380" tabRatio="500" xr2:uid="{00000000-000D-0000-FFFF-FFFF00000000}"/>
  </bookViews>
  <sheets>
    <sheet name="Overview" sheetId="1" r:id="rId1"/>
    <sheet name="Comparison" sheetId="2" r:id="rId2"/>
    <sheet name="Tax Levy Impact" sheetId="3" r:id="rId3"/>
    <sheet name="Assumptions" sheetId="4" r:id="rId4"/>
    <sheet name="Parameters" sheetId="5" r:id="rId5"/>
    <sheet name="Benefits" sheetId="6" r:id="rId6"/>
    <sheet name="Glossary" sheetId="7" r:id="rId7"/>
    <sheet name="Scenario A - Do Minimum" sheetId="8" r:id="rId8"/>
    <sheet name="Scenario B - Full Rebuild" sheetId="9" r:id="rId9"/>
    <sheet name="Scenario C - Split" sheetId="10" r:id="rId10"/>
    <sheet name="Scenario D - Purchase" sheetId="11" r:id="rId11"/>
    <sheet name="Scenario E - Purchase+DoMin TH" sheetId="12" r:id="rId1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G30" i="8" l="1"/>
  <c r="C9" i="12"/>
  <c r="AG39" i="12"/>
  <c r="AF39" i="12"/>
  <c r="AE39" i="12"/>
  <c r="AD39" i="12"/>
  <c r="AC39" i="12"/>
  <c r="AB39" i="12"/>
  <c r="AA39" i="12"/>
  <c r="Z39" i="12"/>
  <c r="Y39" i="12"/>
  <c r="X39" i="12"/>
  <c r="W39" i="12"/>
  <c r="V39" i="12"/>
  <c r="U39" i="12"/>
  <c r="T39" i="12"/>
  <c r="S39" i="12"/>
  <c r="R39" i="12"/>
  <c r="Q39" i="12"/>
  <c r="P39" i="12"/>
  <c r="O39" i="12"/>
  <c r="N39" i="12"/>
  <c r="M39" i="12"/>
  <c r="L39" i="12"/>
  <c r="K39" i="12"/>
  <c r="J39" i="12"/>
  <c r="I39" i="12"/>
  <c r="H39" i="12"/>
  <c r="G39" i="12"/>
  <c r="F39" i="12"/>
  <c r="E39" i="12"/>
  <c r="D39"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8" i="12"/>
  <c r="G38" i="12"/>
  <c r="F38" i="12"/>
  <c r="E38" i="12"/>
  <c r="D38" i="12"/>
  <c r="AG37" i="12"/>
  <c r="AF37" i="12"/>
  <c r="AE37" i="12"/>
  <c r="AD37" i="12"/>
  <c r="AC37" i="12"/>
  <c r="AB37" i="12"/>
  <c r="AA37" i="12"/>
  <c r="Z37" i="12"/>
  <c r="Y37" i="12"/>
  <c r="X37" i="12"/>
  <c r="W37" i="12"/>
  <c r="V37" i="12"/>
  <c r="U37" i="12"/>
  <c r="T37" i="12"/>
  <c r="S37" i="12"/>
  <c r="R37" i="12"/>
  <c r="Q37" i="12"/>
  <c r="P37" i="12"/>
  <c r="O37" i="12"/>
  <c r="N37" i="12"/>
  <c r="M37" i="12"/>
  <c r="L37" i="12"/>
  <c r="K37" i="12"/>
  <c r="J37" i="12"/>
  <c r="I37" i="12"/>
  <c r="H37" i="12"/>
  <c r="G37" i="12"/>
  <c r="F37" i="12"/>
  <c r="E37" i="12"/>
  <c r="D37" i="12"/>
  <c r="AG36" i="12"/>
  <c r="AF36" i="12"/>
  <c r="AE36" i="12"/>
  <c r="AD36" i="12"/>
  <c r="AC36" i="12"/>
  <c r="AB36" i="12"/>
  <c r="AA36" i="12"/>
  <c r="Z36" i="12"/>
  <c r="Y36" i="12"/>
  <c r="X36" i="12"/>
  <c r="W36" i="12"/>
  <c r="V36" i="12"/>
  <c r="U36" i="12"/>
  <c r="T36" i="12"/>
  <c r="S36" i="12"/>
  <c r="R36" i="12"/>
  <c r="Q36" i="12"/>
  <c r="P36" i="12"/>
  <c r="O36" i="12"/>
  <c r="N36" i="12"/>
  <c r="M36" i="12"/>
  <c r="L36" i="12"/>
  <c r="K36" i="12"/>
  <c r="J36" i="12"/>
  <c r="I36" i="12"/>
  <c r="H36" i="12"/>
  <c r="G36" i="12"/>
  <c r="F36" i="12"/>
  <c r="E36" i="12"/>
  <c r="AG35" i="12"/>
  <c r="AF35" i="12"/>
  <c r="AE35" i="12"/>
  <c r="AD35" i="12"/>
  <c r="AC35" i="12"/>
  <c r="AB35" i="12"/>
  <c r="AA35" i="12"/>
  <c r="Z35" i="12"/>
  <c r="Y35" i="12"/>
  <c r="X35" i="12"/>
  <c r="W35" i="12"/>
  <c r="V35" i="12"/>
  <c r="U35" i="12"/>
  <c r="T35" i="12"/>
  <c r="S35" i="12"/>
  <c r="R35" i="12"/>
  <c r="Q35" i="12"/>
  <c r="P35" i="12"/>
  <c r="O35" i="12"/>
  <c r="N35" i="12"/>
  <c r="M35" i="12"/>
  <c r="L35" i="12"/>
  <c r="K35" i="12"/>
  <c r="J35" i="12"/>
  <c r="I35" i="12"/>
  <c r="H35" i="12"/>
  <c r="G35" i="12"/>
  <c r="F35" i="12"/>
  <c r="E35" i="12"/>
  <c r="AG34" i="12"/>
  <c r="AF34" i="12"/>
  <c r="AE34" i="12"/>
  <c r="AD34" i="12"/>
  <c r="AC34" i="12"/>
  <c r="AB34" i="12"/>
  <c r="AA34" i="12"/>
  <c r="Z34" i="12"/>
  <c r="Y34" i="12"/>
  <c r="X34" i="12"/>
  <c r="W34" i="12"/>
  <c r="V34" i="12"/>
  <c r="U34" i="12"/>
  <c r="T34" i="12"/>
  <c r="S34" i="12"/>
  <c r="R34" i="12"/>
  <c r="Q34" i="12"/>
  <c r="P34" i="12"/>
  <c r="O34" i="12"/>
  <c r="N34" i="12"/>
  <c r="M34" i="12"/>
  <c r="L34" i="12"/>
  <c r="K34" i="12"/>
  <c r="J34" i="12"/>
  <c r="I34" i="12"/>
  <c r="H34" i="12"/>
  <c r="G34" i="12"/>
  <c r="F34" i="12"/>
  <c r="E34" i="12"/>
  <c r="D34" i="12"/>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G33" i="12"/>
  <c r="F33" i="12"/>
  <c r="E33" i="12"/>
  <c r="D33"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C24" i="12"/>
  <c r="C20" i="12"/>
  <c r="C19" i="12"/>
  <c r="C18" i="12"/>
  <c r="C17" i="12"/>
  <c r="C21" i="12" s="1"/>
  <c r="D36" i="12" s="1"/>
  <c r="C16" i="12"/>
  <c r="C15" i="12"/>
  <c r="C12" i="12"/>
  <c r="C11" i="12"/>
  <c r="C10" i="12"/>
  <c r="C8" i="12"/>
  <c r="AG6" i="12"/>
  <c r="AF6" i="12"/>
  <c r="AE6" i="12"/>
  <c r="AD6" i="12"/>
  <c r="AC6" i="12"/>
  <c r="AB6" i="12"/>
  <c r="AA6" i="12"/>
  <c r="Z6" i="12"/>
  <c r="Y6" i="12"/>
  <c r="X6" i="12"/>
  <c r="W6" i="12"/>
  <c r="V6" i="12"/>
  <c r="U6" i="12"/>
  <c r="T6" i="12"/>
  <c r="S6" i="12"/>
  <c r="R6" i="12"/>
  <c r="Q6" i="12"/>
  <c r="P6" i="12"/>
  <c r="O6" i="12"/>
  <c r="N6" i="12"/>
  <c r="M6" i="12"/>
  <c r="L6" i="12"/>
  <c r="K6" i="12"/>
  <c r="J6" i="12"/>
  <c r="I6" i="12"/>
  <c r="H6" i="12"/>
  <c r="G6" i="12"/>
  <c r="F6" i="12"/>
  <c r="E6" i="12"/>
  <c r="D6" i="12"/>
  <c r="D37" i="11"/>
  <c r="AG36" i="11"/>
  <c r="AF36" i="11"/>
  <c r="AE36" i="11"/>
  <c r="AD36" i="11"/>
  <c r="AC36" i="11"/>
  <c r="AB36" i="11"/>
  <c r="AA36" i="11"/>
  <c r="Z36" i="11"/>
  <c r="Y36" i="11"/>
  <c r="X36" i="11"/>
  <c r="W36" i="11"/>
  <c r="V36" i="11"/>
  <c r="U36" i="11"/>
  <c r="T36" i="11"/>
  <c r="S36" i="11"/>
  <c r="R36" i="11"/>
  <c r="Q36" i="11"/>
  <c r="P36" i="11"/>
  <c r="O36" i="11"/>
  <c r="N36" i="11"/>
  <c r="M36" i="11"/>
  <c r="L36" i="11"/>
  <c r="K36" i="11"/>
  <c r="J36" i="11"/>
  <c r="I36" i="11"/>
  <c r="H36" i="11"/>
  <c r="G36" i="11"/>
  <c r="F36" i="11"/>
  <c r="E36" i="11"/>
  <c r="D36" i="11"/>
  <c r="AG35" i="11"/>
  <c r="AF35" i="11"/>
  <c r="AE35" i="11"/>
  <c r="AD35" i="11"/>
  <c r="AC35" i="11"/>
  <c r="AB35" i="11"/>
  <c r="AA35" i="11"/>
  <c r="Z35" i="11"/>
  <c r="Y35" i="11"/>
  <c r="X35" i="11"/>
  <c r="W35" i="11"/>
  <c r="V35" i="11"/>
  <c r="U35" i="11"/>
  <c r="T35" i="11"/>
  <c r="S35" i="11"/>
  <c r="R35" i="11"/>
  <c r="Q35" i="11"/>
  <c r="P35" i="11"/>
  <c r="O35" i="11"/>
  <c r="N35" i="11"/>
  <c r="M35" i="11"/>
  <c r="L35" i="11"/>
  <c r="K35" i="11"/>
  <c r="J35" i="11"/>
  <c r="I35" i="11"/>
  <c r="H35" i="11"/>
  <c r="G35" i="11"/>
  <c r="F35" i="11"/>
  <c r="E35" i="11"/>
  <c r="D35" i="11"/>
  <c r="AG34" i="11"/>
  <c r="AF34" i="11"/>
  <c r="AE34" i="11"/>
  <c r="AD34" i="11"/>
  <c r="AC34" i="11"/>
  <c r="AB34" i="11"/>
  <c r="AA34" i="11"/>
  <c r="Z34" i="11"/>
  <c r="Y34" i="11"/>
  <c r="X34" i="11"/>
  <c r="W34" i="11"/>
  <c r="V34" i="11"/>
  <c r="U34" i="11"/>
  <c r="T34" i="11"/>
  <c r="S34" i="11"/>
  <c r="R34" i="11"/>
  <c r="Q34" i="11"/>
  <c r="P34" i="11"/>
  <c r="O34" i="11"/>
  <c r="N34" i="11"/>
  <c r="M34" i="11"/>
  <c r="L34" i="11"/>
  <c r="K34" i="11"/>
  <c r="J34" i="11"/>
  <c r="I34" i="11"/>
  <c r="H34" i="11"/>
  <c r="G34" i="11"/>
  <c r="F34" i="11"/>
  <c r="E34" i="11"/>
  <c r="D34"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H33" i="11"/>
  <c r="G33" i="11"/>
  <c r="F33" i="11"/>
  <c r="E33" i="11"/>
  <c r="E32" i="11"/>
  <c r="D32" i="11"/>
  <c r="AG31" i="11"/>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C24" i="11"/>
  <c r="C20" i="11"/>
  <c r="C17" i="11"/>
  <c r="C16" i="11"/>
  <c r="C15" i="11"/>
  <c r="C18" i="11" s="1"/>
  <c r="C19" i="11" s="1"/>
  <c r="C11" i="11"/>
  <c r="C10" i="11"/>
  <c r="C9" i="11"/>
  <c r="C8" i="11"/>
  <c r="C12" i="11" s="1"/>
  <c r="AG6" i="11"/>
  <c r="AF6" i="11"/>
  <c r="AE6" i="11"/>
  <c r="AD6" i="11"/>
  <c r="AC6" i="11"/>
  <c r="AB6" i="11"/>
  <c r="AA6" i="11"/>
  <c r="Z6" i="11"/>
  <c r="Y6" i="11"/>
  <c r="X6" i="11"/>
  <c r="W6" i="11"/>
  <c r="V6" i="11"/>
  <c r="U6" i="11"/>
  <c r="T6" i="11"/>
  <c r="S6" i="11"/>
  <c r="R6" i="11"/>
  <c r="Q6" i="11"/>
  <c r="P6" i="11"/>
  <c r="O6" i="11"/>
  <c r="N6" i="11"/>
  <c r="M6" i="11"/>
  <c r="L6" i="11"/>
  <c r="K6" i="11"/>
  <c r="J6" i="11"/>
  <c r="I6" i="11"/>
  <c r="H6" i="11"/>
  <c r="G6" i="11"/>
  <c r="F6" i="11"/>
  <c r="E6" i="11"/>
  <c r="D6" i="11"/>
  <c r="D37" i="10"/>
  <c r="AG36" i="10"/>
  <c r="AF36" i="10"/>
  <c r="AE36" i="10"/>
  <c r="AD36" i="10"/>
  <c r="AC36" i="10"/>
  <c r="AB36" i="10"/>
  <c r="AA36" i="10"/>
  <c r="Z36" i="10"/>
  <c r="Y36" i="10"/>
  <c r="X36" i="10"/>
  <c r="W36" i="10"/>
  <c r="V36" i="10"/>
  <c r="U36" i="10"/>
  <c r="T36" i="10"/>
  <c r="S36" i="10"/>
  <c r="R36" i="10"/>
  <c r="Q36" i="10"/>
  <c r="P36" i="10"/>
  <c r="O36" i="10"/>
  <c r="N36" i="10"/>
  <c r="M36" i="10"/>
  <c r="L36" i="10"/>
  <c r="K36" i="10"/>
  <c r="J36" i="10"/>
  <c r="I36" i="10"/>
  <c r="H36" i="10"/>
  <c r="G36" i="10"/>
  <c r="F36" i="10"/>
  <c r="E36" i="10"/>
  <c r="D36" i="10"/>
  <c r="AG35" i="10"/>
  <c r="AF35" i="10"/>
  <c r="AE35" i="10"/>
  <c r="AD35" i="10"/>
  <c r="AC35" i="10"/>
  <c r="AB35" i="10"/>
  <c r="AA35" i="10"/>
  <c r="Z35" i="10"/>
  <c r="Y35" i="10"/>
  <c r="X35" i="10"/>
  <c r="W35" i="10"/>
  <c r="V35" i="10"/>
  <c r="U35" i="10"/>
  <c r="T35" i="10"/>
  <c r="S35" i="10"/>
  <c r="R35" i="10"/>
  <c r="Q35" i="10"/>
  <c r="P35" i="10"/>
  <c r="O35" i="10"/>
  <c r="N35" i="10"/>
  <c r="M35" i="10"/>
  <c r="L35" i="10"/>
  <c r="K35" i="10"/>
  <c r="J35" i="10"/>
  <c r="I35" i="10"/>
  <c r="H35" i="10"/>
  <c r="G35" i="10"/>
  <c r="F35" i="10"/>
  <c r="E35" i="10"/>
  <c r="D35" i="10"/>
  <c r="E34" i="10"/>
  <c r="D34" i="10"/>
  <c r="AG33" i="10"/>
  <c r="AF33" i="10"/>
  <c r="AE33" i="10"/>
  <c r="AD33" i="10"/>
  <c r="AC33" i="10"/>
  <c r="AB33" i="10"/>
  <c r="AA33" i="10"/>
  <c r="Z33" i="10"/>
  <c r="Y33" i="10"/>
  <c r="X33" i="10"/>
  <c r="W33" i="10"/>
  <c r="V33" i="10"/>
  <c r="U33" i="10"/>
  <c r="T33" i="10"/>
  <c r="S33" i="10"/>
  <c r="R33" i="10"/>
  <c r="Q33" i="10"/>
  <c r="P33" i="10"/>
  <c r="O33" i="10"/>
  <c r="N33" i="10"/>
  <c r="M33" i="10"/>
  <c r="L33" i="10"/>
  <c r="K33" i="10"/>
  <c r="J33" i="10"/>
  <c r="I33" i="10"/>
  <c r="H33" i="10"/>
  <c r="G33" i="10"/>
  <c r="F33" i="10"/>
  <c r="F32" i="10"/>
  <c r="E32" i="10"/>
  <c r="D32"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C24" i="10"/>
  <c r="C18" i="10"/>
  <c r="C17" i="10"/>
  <c r="C16" i="10"/>
  <c r="C15" i="10"/>
  <c r="C10"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D31"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C21" i="9"/>
  <c r="C19" i="9"/>
  <c r="C18" i="9"/>
  <c r="C13" i="9"/>
  <c r="C12" i="9"/>
  <c r="C11" i="9"/>
  <c r="C10" i="9"/>
  <c r="C9"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AE43" i="8"/>
  <c r="S43" i="8"/>
  <c r="P43" i="8"/>
  <c r="K43"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AG38" i="8"/>
  <c r="AG43" i="8" s="1"/>
  <c r="AF38" i="8"/>
  <c r="AF43" i="8" s="1"/>
  <c r="AE38" i="8"/>
  <c r="AD38" i="8"/>
  <c r="AD43" i="8" s="1"/>
  <c r="AC38" i="8"/>
  <c r="AC43" i="8" s="1"/>
  <c r="AB38" i="8"/>
  <c r="AB43" i="8" s="1"/>
  <c r="AA38" i="8"/>
  <c r="AA43" i="8" s="1"/>
  <c r="Z38" i="8"/>
  <c r="Z43" i="8" s="1"/>
  <c r="Y38" i="8"/>
  <c r="Y43" i="8" s="1"/>
  <c r="X38" i="8"/>
  <c r="X43" i="8" s="1"/>
  <c r="W38" i="8"/>
  <c r="W43" i="8" s="1"/>
  <c r="V38" i="8"/>
  <c r="V43" i="8" s="1"/>
  <c r="U38" i="8"/>
  <c r="U43" i="8" s="1"/>
  <c r="T38" i="8"/>
  <c r="T43" i="8" s="1"/>
  <c r="S38" i="8"/>
  <c r="R38" i="8"/>
  <c r="R43" i="8" s="1"/>
  <c r="Q38" i="8"/>
  <c r="Q43" i="8" s="1"/>
  <c r="P38" i="8"/>
  <c r="O38" i="8"/>
  <c r="N38" i="8"/>
  <c r="M38" i="8"/>
  <c r="L38" i="8"/>
  <c r="L43" i="8" s="1"/>
  <c r="K38" i="8"/>
  <c r="J38" i="8"/>
  <c r="J43" i="8" s="1"/>
  <c r="I38" i="8"/>
  <c r="I43" i="8" s="1"/>
  <c r="H38" i="8"/>
  <c r="H43" i="8" s="1"/>
  <c r="G38" i="8"/>
  <c r="G43" i="8" s="1"/>
  <c r="F38" i="8"/>
  <c r="F43" i="8" s="1"/>
  <c r="E38" i="8"/>
  <c r="E43" i="8" s="1"/>
  <c r="D38" i="8"/>
  <c r="D43" i="8" s="1"/>
  <c r="AG34" i="8"/>
  <c r="Z34" i="8"/>
  <c r="Y34" i="8"/>
  <c r="X34" i="8"/>
  <c r="W34" i="8"/>
  <c r="U34" i="8"/>
  <c r="T34" i="8"/>
  <c r="S34" i="8"/>
  <c r="M34" i="8"/>
  <c r="K34" i="8"/>
  <c r="J34" i="8"/>
  <c r="I34" i="8"/>
  <c r="F34" i="8"/>
  <c r="E34" i="8"/>
  <c r="D34"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AC27" i="8"/>
  <c r="N27" i="8"/>
  <c r="K27" i="8"/>
  <c r="I27"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AG19" i="8"/>
  <c r="AG27" i="8" s="1"/>
  <c r="AF19" i="8"/>
  <c r="AF27" i="8" s="1"/>
  <c r="AE19" i="8"/>
  <c r="AE27" i="8" s="1"/>
  <c r="AD19" i="8"/>
  <c r="AC19" i="8"/>
  <c r="AB19" i="8"/>
  <c r="AB27" i="8" s="1"/>
  <c r="AA19" i="8"/>
  <c r="AA27" i="8" s="1"/>
  <c r="Z19" i="8"/>
  <c r="Z27" i="8" s="1"/>
  <c r="Y19" i="8"/>
  <c r="Y27" i="8" s="1"/>
  <c r="X19" i="8"/>
  <c r="X27" i="8" s="1"/>
  <c r="W19" i="8"/>
  <c r="W27" i="8" s="1"/>
  <c r="V19" i="8"/>
  <c r="V27" i="8" s="1"/>
  <c r="U19" i="8"/>
  <c r="U27" i="8" s="1"/>
  <c r="T19" i="8"/>
  <c r="T27" i="8" s="1"/>
  <c r="S19" i="8"/>
  <c r="S27" i="8" s="1"/>
  <c r="R19" i="8"/>
  <c r="Q19" i="8"/>
  <c r="Q27" i="8" s="1"/>
  <c r="P19" i="8"/>
  <c r="P27" i="8" s="1"/>
  <c r="O19" i="8"/>
  <c r="O27" i="8" s="1"/>
  <c r="N19" i="8"/>
  <c r="M19" i="8"/>
  <c r="M27" i="8" s="1"/>
  <c r="L19" i="8"/>
  <c r="L27" i="8" s="1"/>
  <c r="K19" i="8"/>
  <c r="J19" i="8"/>
  <c r="J27" i="8" s="1"/>
  <c r="I19" i="8"/>
  <c r="H19" i="8"/>
  <c r="H27" i="8" s="1"/>
  <c r="G19" i="8"/>
  <c r="G27" i="8" s="1"/>
  <c r="F19" i="8"/>
  <c r="F27" i="8" s="1"/>
  <c r="E19" i="8"/>
  <c r="D19" i="8"/>
  <c r="D27" i="8" s="1"/>
  <c r="D15" i="8"/>
  <c r="D14" i="8"/>
  <c r="D13" i="8"/>
  <c r="D11" i="8"/>
  <c r="D10" i="8"/>
  <c r="D9" i="8"/>
  <c r="D8"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H5" i="8"/>
  <c r="G5" i="8"/>
  <c r="D39" i="6"/>
  <c r="D41" i="6" s="1"/>
  <c r="D41" i="12" s="1"/>
  <c r="AG37" i="6"/>
  <c r="AG39" i="11" s="1"/>
  <c r="AG36" i="6"/>
  <c r="AF36" i="6"/>
  <c r="AE36"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E35" i="6"/>
  <c r="E37" i="6" s="1"/>
  <c r="E39" i="11" s="1"/>
  <c r="D35" i="6"/>
  <c r="D37" i="6" s="1"/>
  <c r="D39" i="11" s="1"/>
  <c r="AG33" i="6"/>
  <c r="AG39" i="10" s="1"/>
  <c r="AG32"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F31" i="6"/>
  <c r="F33" i="6" s="1"/>
  <c r="F39" i="10" s="1"/>
  <c r="E31" i="6"/>
  <c r="E33" i="6" s="1"/>
  <c r="E39" i="10" s="1"/>
  <c r="D31" i="6"/>
  <c r="D33" i="6" s="1"/>
  <c r="D39" i="10" s="1"/>
  <c r="AG29" i="6"/>
  <c r="AG33" i="9" s="1"/>
  <c r="AG28" i="6"/>
  <c r="AF28" i="6"/>
  <c r="AE28"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E27" i="6"/>
  <c r="E29" i="6" s="1"/>
  <c r="E33" i="9" s="1"/>
  <c r="D27" i="6"/>
  <c r="D29" i="6" s="1"/>
  <c r="D33" i="9" s="1"/>
  <c r="AG26"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H17" i="6"/>
  <c r="AB39" i="6" s="1"/>
  <c r="AB41" i="6" s="1"/>
  <c r="AB41" i="12" s="1"/>
  <c r="G17" i="6"/>
  <c r="W35" i="6" s="1"/>
  <c r="V37" i="6" s="1"/>
  <c r="V39" i="11" s="1"/>
  <c r="F17" i="6"/>
  <c r="AE31" i="6" s="1"/>
  <c r="AD33" i="6" s="1"/>
  <c r="AD39" i="10" s="1"/>
  <c r="E17" i="6"/>
  <c r="C15" i="6"/>
  <c r="C14" i="6"/>
  <c r="C13" i="6"/>
  <c r="C12" i="6"/>
  <c r="C10" i="6"/>
  <c r="C9" i="6"/>
  <c r="C8" i="6"/>
  <c r="C7" i="6"/>
  <c r="C166" i="5"/>
  <c r="AG31" i="12" s="1"/>
  <c r="C127" i="5"/>
  <c r="C111" i="5"/>
  <c r="C8" i="10" s="1"/>
  <c r="C110" i="5"/>
  <c r="C8" i="9" s="1"/>
  <c r="C14" i="9" s="1"/>
  <c r="C64" i="5"/>
  <c r="C57" i="5"/>
  <c r="N32" i="11" s="1"/>
  <c r="C42" i="5"/>
  <c r="C40" i="5"/>
  <c r="C41" i="5" s="1"/>
  <c r="C114" i="5" s="1"/>
  <c r="C117" i="5" s="1"/>
  <c r="C23" i="5"/>
  <c r="G9" i="3"/>
  <c r="F9" i="3"/>
  <c r="E9" i="3"/>
  <c r="D9" i="3"/>
  <c r="C9" i="3"/>
  <c r="G8" i="3"/>
  <c r="F8" i="3"/>
  <c r="E8" i="3"/>
  <c r="D8" i="3"/>
  <c r="C8" i="3"/>
  <c r="C6" i="3"/>
  <c r="C7" i="3" s="1"/>
  <c r="G5" i="3"/>
  <c r="F5" i="3"/>
  <c r="E5" i="3"/>
  <c r="D5" i="3"/>
  <c r="C5" i="3"/>
  <c r="G19" i="2"/>
  <c r="F19" i="2"/>
  <c r="E19" i="2"/>
  <c r="D19" i="2"/>
  <c r="C19" i="2"/>
  <c r="C10" i="2"/>
  <c r="C9" i="2"/>
  <c r="E27" i="8" l="1"/>
  <c r="R27" i="8"/>
  <c r="M43" i="8"/>
  <c r="N43" i="8"/>
  <c r="O43" i="8"/>
  <c r="AC34" i="10"/>
  <c r="S34" i="10"/>
  <c r="I34" i="10"/>
  <c r="AB34" i="10"/>
  <c r="R34" i="10"/>
  <c r="H34" i="10"/>
  <c r="Y34" i="10"/>
  <c r="O34" i="10"/>
  <c r="X34" i="10"/>
  <c r="N34" i="10"/>
  <c r="AG34" i="10"/>
  <c r="W34" i="10"/>
  <c r="M34" i="10"/>
  <c r="AE34" i="10"/>
  <c r="Z34" i="10"/>
  <c r="F34" i="10"/>
  <c r="C9" i="10"/>
  <c r="C12" i="10" s="1"/>
  <c r="T34" i="10"/>
  <c r="V34" i="10"/>
  <c r="U34" i="10"/>
  <c r="AF34" i="10"/>
  <c r="K34" i="10"/>
  <c r="AD34" i="10"/>
  <c r="J34" i="10"/>
  <c r="AA34" i="10"/>
  <c r="Q34" i="10"/>
  <c r="P34" i="10"/>
  <c r="L34" i="10"/>
  <c r="G34" i="10"/>
  <c r="C17" i="9"/>
  <c r="C16" i="9"/>
  <c r="C15" i="9"/>
  <c r="C20" i="9" s="1"/>
  <c r="Z27" i="6"/>
  <c r="Y29" i="6" s="1"/>
  <c r="Y33" i="9" s="1"/>
  <c r="P27" i="6"/>
  <c r="O29" i="6" s="1"/>
  <c r="O33" i="9" s="1"/>
  <c r="F27" i="6"/>
  <c r="F29" i="6" s="1"/>
  <c r="F33" i="9" s="1"/>
  <c r="Y27" i="6"/>
  <c r="X29" i="6" s="1"/>
  <c r="X33" i="9" s="1"/>
  <c r="O27" i="6"/>
  <c r="N29" i="6" s="1"/>
  <c r="N33" i="9" s="1"/>
  <c r="X27" i="6"/>
  <c r="W29" i="6" s="1"/>
  <c r="W33" i="9" s="1"/>
  <c r="N27" i="6"/>
  <c r="M29" i="6" s="1"/>
  <c r="M33" i="9" s="1"/>
  <c r="AC27" i="6"/>
  <c r="AB29" i="6" s="1"/>
  <c r="AB33" i="9" s="1"/>
  <c r="S27" i="6"/>
  <c r="R29" i="6" s="1"/>
  <c r="R33" i="9" s="1"/>
  <c r="I27" i="6"/>
  <c r="H29" i="6" s="1"/>
  <c r="H33" i="9" s="1"/>
  <c r="L27" i="6"/>
  <c r="K29" i="6" s="1"/>
  <c r="K33" i="9" s="1"/>
  <c r="AD27" i="6"/>
  <c r="AC29" i="6" s="1"/>
  <c r="AC33" i="9" s="1"/>
  <c r="M31" i="6"/>
  <c r="L33" i="6" s="1"/>
  <c r="L39" i="10" s="1"/>
  <c r="R35" i="6"/>
  <c r="Q37" i="6" s="1"/>
  <c r="Q39" i="11" s="1"/>
  <c r="AG35" i="6"/>
  <c r="AF37" i="6" s="1"/>
  <c r="AF39" i="11" s="1"/>
  <c r="G39" i="6"/>
  <c r="G41" i="6" s="1"/>
  <c r="G41" i="12" s="1"/>
  <c r="W39" i="6"/>
  <c r="W41" i="6" s="1"/>
  <c r="W41" i="12" s="1"/>
  <c r="Y33" i="8"/>
  <c r="Y35" i="8" s="1"/>
  <c r="Y45" i="8" s="1"/>
  <c r="V32" i="10"/>
  <c r="Z31" i="6"/>
  <c r="Y33" i="6" s="1"/>
  <c r="Y39" i="10" s="1"/>
  <c r="P31" i="6"/>
  <c r="O33" i="6" s="1"/>
  <c r="O39" i="10" s="1"/>
  <c r="Y31" i="6"/>
  <c r="X33" i="6" s="1"/>
  <c r="X39" i="10" s="1"/>
  <c r="O31" i="6"/>
  <c r="N33" i="6" s="1"/>
  <c r="N39" i="10" s="1"/>
  <c r="X31" i="6"/>
  <c r="W33" i="6" s="1"/>
  <c r="W39" i="10" s="1"/>
  <c r="N31" i="6"/>
  <c r="M33" i="6" s="1"/>
  <c r="M39" i="10" s="1"/>
  <c r="AC31" i="6"/>
  <c r="AB33" i="6" s="1"/>
  <c r="AB39" i="10" s="1"/>
  <c r="S31" i="6"/>
  <c r="R33" i="6" s="1"/>
  <c r="R39" i="10" s="1"/>
  <c r="I31" i="6"/>
  <c r="H33" i="6" s="1"/>
  <c r="H39" i="10" s="1"/>
  <c r="M27" i="6"/>
  <c r="L29" i="6" s="1"/>
  <c r="L33" i="9" s="1"/>
  <c r="AE27" i="6"/>
  <c r="AD29" i="6" s="1"/>
  <c r="AD33" i="9" s="1"/>
  <c r="Q31" i="6"/>
  <c r="P33" i="6" s="1"/>
  <c r="P39" i="10" s="1"/>
  <c r="AF31" i="6"/>
  <c r="AE33" i="6" s="1"/>
  <c r="AE39" i="10" s="1"/>
  <c r="T35" i="6"/>
  <c r="S37" i="6" s="1"/>
  <c r="S39" i="11" s="1"/>
  <c r="H39" i="6"/>
  <c r="H41" i="6" s="1"/>
  <c r="H41" i="12" s="1"/>
  <c r="AA39" i="6"/>
  <c r="AA41" i="6" s="1"/>
  <c r="AA41" i="12" s="1"/>
  <c r="Z33" i="8"/>
  <c r="Z35" i="8" s="1"/>
  <c r="Z45" i="8" s="1"/>
  <c r="Z32" i="10"/>
  <c r="AD32" i="12"/>
  <c r="AF27" i="6"/>
  <c r="AE29" i="6" s="1"/>
  <c r="AE33" i="9" s="1"/>
  <c r="R31" i="6"/>
  <c r="Q33" i="6" s="1"/>
  <c r="Q39" i="10" s="1"/>
  <c r="AG31" i="6"/>
  <c r="AF33" i="6" s="1"/>
  <c r="AF39" i="10" s="1"/>
  <c r="U35" i="6"/>
  <c r="T37" i="6" s="1"/>
  <c r="T39" i="11" s="1"/>
  <c r="J39" i="6"/>
  <c r="J41" i="6" s="1"/>
  <c r="J41" i="12" s="1"/>
  <c r="E33" i="8"/>
  <c r="E35" i="8" s="1"/>
  <c r="E45" i="8" s="1"/>
  <c r="AA32" i="10"/>
  <c r="Z39" i="6"/>
  <c r="Z41" i="6" s="1"/>
  <c r="Z41" i="12" s="1"/>
  <c r="P39" i="6"/>
  <c r="P41" i="6" s="1"/>
  <c r="P41" i="12" s="1"/>
  <c r="F39" i="6"/>
  <c r="F41" i="6" s="1"/>
  <c r="F41" i="12" s="1"/>
  <c r="Y39" i="6"/>
  <c r="Y41" i="6" s="1"/>
  <c r="Y41" i="12" s="1"/>
  <c r="O39" i="6"/>
  <c r="O41" i="6" s="1"/>
  <c r="O41" i="12" s="1"/>
  <c r="E39" i="6"/>
  <c r="E41" i="6" s="1"/>
  <c r="E41" i="12" s="1"/>
  <c r="AG39" i="6"/>
  <c r="AG41" i="6" s="1"/>
  <c r="AG41" i="12" s="1"/>
  <c r="M39" i="6"/>
  <c r="M41" i="6" s="1"/>
  <c r="M41" i="12" s="1"/>
  <c r="X39" i="6"/>
  <c r="X41" i="6" s="1"/>
  <c r="X41" i="12" s="1"/>
  <c r="N39" i="6"/>
  <c r="N41" i="6" s="1"/>
  <c r="N41" i="12" s="1"/>
  <c r="AC39" i="6"/>
  <c r="AC41" i="6" s="1"/>
  <c r="AC41" i="12" s="1"/>
  <c r="S39" i="6"/>
  <c r="S41" i="6" s="1"/>
  <c r="S41" i="12" s="1"/>
  <c r="I39" i="6"/>
  <c r="I41" i="6" s="1"/>
  <c r="I41" i="12" s="1"/>
  <c r="R27" i="6"/>
  <c r="Q29" i="6" s="1"/>
  <c r="Q33" i="9" s="1"/>
  <c r="AG27" i="6"/>
  <c r="AF29" i="6" s="1"/>
  <c r="AF33" i="9" s="1"/>
  <c r="T31" i="6"/>
  <c r="S33" i="6" s="1"/>
  <c r="S39" i="10" s="1"/>
  <c r="G35" i="6"/>
  <c r="G37" i="6" s="1"/>
  <c r="G39" i="11" s="1"/>
  <c r="V35" i="6"/>
  <c r="U37" i="6" s="1"/>
  <c r="U39" i="11" s="1"/>
  <c r="K39" i="6"/>
  <c r="K41" i="6" s="1"/>
  <c r="K41" i="12" s="1"/>
  <c r="AD39" i="6"/>
  <c r="AD41" i="6" s="1"/>
  <c r="AD41" i="12" s="1"/>
  <c r="F33" i="8"/>
  <c r="F35" i="8" s="1"/>
  <c r="F45" i="8" s="1"/>
  <c r="T27" i="6"/>
  <c r="S29" i="6" s="1"/>
  <c r="S33" i="9" s="1"/>
  <c r="U31" i="6"/>
  <c r="T33" i="6" s="1"/>
  <c r="T39" i="10" s="1"/>
  <c r="H35" i="6"/>
  <c r="L39" i="6"/>
  <c r="L41" i="6" s="1"/>
  <c r="L41" i="12" s="1"/>
  <c r="AE39" i="6"/>
  <c r="AE41" i="6" s="1"/>
  <c r="AE41" i="12" s="1"/>
  <c r="J33" i="8"/>
  <c r="J35" i="8" s="1"/>
  <c r="D28" i="9"/>
  <c r="Z35" i="6"/>
  <c r="Y37" i="6" s="1"/>
  <c r="Y39" i="11" s="1"/>
  <c r="P35" i="6"/>
  <c r="O37" i="6" s="1"/>
  <c r="O39" i="11" s="1"/>
  <c r="F35" i="6"/>
  <c r="F37" i="6" s="1"/>
  <c r="F39" i="11" s="1"/>
  <c r="Y35" i="6"/>
  <c r="X37" i="6" s="1"/>
  <c r="X39" i="11" s="1"/>
  <c r="O35" i="6"/>
  <c r="N37" i="6" s="1"/>
  <c r="N39" i="11" s="1"/>
  <c r="X35" i="6"/>
  <c r="W37" i="6" s="1"/>
  <c r="W39" i="11" s="1"/>
  <c r="N35" i="6"/>
  <c r="M37" i="6" s="1"/>
  <c r="M39" i="11" s="1"/>
  <c r="AC35" i="6"/>
  <c r="AB37" i="6" s="1"/>
  <c r="AB39" i="11" s="1"/>
  <c r="S35" i="6"/>
  <c r="R37" i="6" s="1"/>
  <c r="R39" i="11" s="1"/>
  <c r="I35" i="6"/>
  <c r="H37" i="6" s="1"/>
  <c r="H39" i="11" s="1"/>
  <c r="Q27" i="6"/>
  <c r="P29" i="6" s="1"/>
  <c r="P33" i="9" s="1"/>
  <c r="AF32" i="12"/>
  <c r="V32" i="12"/>
  <c r="L32" i="12"/>
  <c r="Z32" i="11"/>
  <c r="P32" i="11"/>
  <c r="F32" i="11"/>
  <c r="AC32" i="10"/>
  <c r="S32" i="10"/>
  <c r="I32" i="10"/>
  <c r="AE32" i="12"/>
  <c r="U32" i="12"/>
  <c r="K32" i="12"/>
  <c r="Y32" i="11"/>
  <c r="O32" i="11"/>
  <c r="E31" i="11"/>
  <c r="AB32" i="10"/>
  <c r="R32" i="10"/>
  <c r="H32" i="10"/>
  <c r="AF33" i="8"/>
  <c r="V33" i="8"/>
  <c r="L33" i="8"/>
  <c r="AC32" i="12"/>
  <c r="S32" i="12"/>
  <c r="I32" i="12"/>
  <c r="AG32" i="11"/>
  <c r="W32" i="11"/>
  <c r="M32" i="11"/>
  <c r="AB32" i="12"/>
  <c r="R32" i="12"/>
  <c r="H32" i="12"/>
  <c r="AF32" i="11"/>
  <c r="V32" i="11"/>
  <c r="L32" i="11"/>
  <c r="Y32" i="10"/>
  <c r="O32" i="10"/>
  <c r="AA32" i="12"/>
  <c r="Q32" i="12"/>
  <c r="G32" i="12"/>
  <c r="AE32" i="11"/>
  <c r="U32" i="11"/>
  <c r="K32" i="11"/>
  <c r="X32" i="10"/>
  <c r="N32" i="10"/>
  <c r="D31" i="10"/>
  <c r="AB33" i="8"/>
  <c r="R33" i="8"/>
  <c r="H33" i="8"/>
  <c r="Z32" i="12"/>
  <c r="P32" i="12"/>
  <c r="F32" i="12"/>
  <c r="AD32" i="11"/>
  <c r="T32" i="11"/>
  <c r="J32" i="11"/>
  <c r="AG32" i="10"/>
  <c r="W32" i="10"/>
  <c r="M32" i="10"/>
  <c r="E28" i="9"/>
  <c r="AA33" i="8"/>
  <c r="Q33" i="8"/>
  <c r="G33" i="8"/>
  <c r="Y32" i="12"/>
  <c r="O32" i="12"/>
  <c r="E32" i="12"/>
  <c r="AC32" i="11"/>
  <c r="S32" i="11"/>
  <c r="I32" i="11"/>
  <c r="X32" i="12"/>
  <c r="N32" i="12"/>
  <c r="D32" i="12"/>
  <c r="AB32" i="11"/>
  <c r="R32" i="11"/>
  <c r="H32" i="11"/>
  <c r="W32" i="12"/>
  <c r="P32" i="10"/>
  <c r="AG33" i="8"/>
  <c r="AG35" i="8" s="1"/>
  <c r="S33" i="8"/>
  <c r="S35" i="8" s="1"/>
  <c r="S45" i="8" s="1"/>
  <c r="D33" i="8"/>
  <c r="D35" i="8" s="1"/>
  <c r="AD32" i="10"/>
  <c r="AC33" i="8"/>
  <c r="T32" i="12"/>
  <c r="AF32" i="10"/>
  <c r="L32" i="10"/>
  <c r="AE33" i="8"/>
  <c r="P33" i="8"/>
  <c r="J32" i="12"/>
  <c r="AA32" i="11"/>
  <c r="J32" i="10"/>
  <c r="N33" i="8"/>
  <c r="M32" i="12"/>
  <c r="AE32" i="10"/>
  <c r="K32" i="10"/>
  <c r="AD33" i="8"/>
  <c r="O33" i="8"/>
  <c r="G32" i="11"/>
  <c r="U32" i="10"/>
  <c r="W33" i="8"/>
  <c r="W35" i="8" s="1"/>
  <c r="W45" i="8" s="1"/>
  <c r="I33" i="8"/>
  <c r="I35" i="8" s="1"/>
  <c r="I45" i="8" s="1"/>
  <c r="AG32" i="12"/>
  <c r="D31" i="11"/>
  <c r="T32" i="10"/>
  <c r="U27" i="6"/>
  <c r="T29" i="6" s="1"/>
  <c r="T33" i="9" s="1"/>
  <c r="G31" i="6"/>
  <c r="G33" i="6" s="1"/>
  <c r="G39" i="10" s="1"/>
  <c r="V31" i="6"/>
  <c r="U33" i="6" s="1"/>
  <c r="U39" i="10" s="1"/>
  <c r="J35" i="6"/>
  <c r="I37" i="6" s="1"/>
  <c r="I39" i="11" s="1"/>
  <c r="AA35" i="6"/>
  <c r="Z37" i="6" s="1"/>
  <c r="Z39" i="11" s="1"/>
  <c r="Q39" i="6"/>
  <c r="Q41" i="6" s="1"/>
  <c r="Q41" i="12" s="1"/>
  <c r="AF39" i="6"/>
  <c r="AF41" i="6" s="1"/>
  <c r="AF41" i="12" s="1"/>
  <c r="K33" i="8"/>
  <c r="K35" i="8" s="1"/>
  <c r="K45" i="8" s="1"/>
  <c r="C19" i="10"/>
  <c r="C20" i="10"/>
  <c r="Q32" i="11"/>
  <c r="G27" i="6"/>
  <c r="G29" i="6" s="1"/>
  <c r="G33" i="9" s="1"/>
  <c r="H31" i="6"/>
  <c r="K35" i="6"/>
  <c r="J37" i="6" s="1"/>
  <c r="J39" i="11" s="1"/>
  <c r="M33" i="8"/>
  <c r="M35" i="8" s="1"/>
  <c r="M45" i="8" s="1"/>
  <c r="E31" i="10"/>
  <c r="X32" i="11"/>
  <c r="AA31" i="6"/>
  <c r="Z33" i="6" s="1"/>
  <c r="Z39" i="10" s="1"/>
  <c r="L35" i="6"/>
  <c r="K37" i="6" s="1"/>
  <c r="K39" i="11" s="1"/>
  <c r="AD35" i="6"/>
  <c r="AC37" i="6" s="1"/>
  <c r="AC39" i="11" s="1"/>
  <c r="T39" i="6"/>
  <c r="T41" i="6" s="1"/>
  <c r="T41" i="12" s="1"/>
  <c r="D12" i="8"/>
  <c r="D16" i="8" s="1"/>
  <c r="D45" i="8" s="1"/>
  <c r="J45" i="8"/>
  <c r="AD27" i="8"/>
  <c r="T33" i="8"/>
  <c r="T35" i="8" s="1"/>
  <c r="T45" i="8" s="1"/>
  <c r="F31" i="10"/>
  <c r="U39" i="6"/>
  <c r="U41" i="6" s="1"/>
  <c r="U41" i="12" s="1"/>
  <c r="U33" i="8"/>
  <c r="U35" i="8" s="1"/>
  <c r="U45" i="8" s="1"/>
  <c r="G32" i="10"/>
  <c r="V27" i="6"/>
  <c r="U29" i="6" s="1"/>
  <c r="U33" i="9" s="1"/>
  <c r="W31" i="6"/>
  <c r="V33" i="6" s="1"/>
  <c r="V39" i="10" s="1"/>
  <c r="AB35" i="6"/>
  <c r="AA37" i="6" s="1"/>
  <c r="AA39" i="11" s="1"/>
  <c r="R39" i="6"/>
  <c r="R41" i="6" s="1"/>
  <c r="R41" i="12" s="1"/>
  <c r="H27" i="6"/>
  <c r="W27" i="6"/>
  <c r="V29" i="6" s="1"/>
  <c r="V33" i="9" s="1"/>
  <c r="J31" i="6"/>
  <c r="I33" i="6" s="1"/>
  <c r="I39" i="10" s="1"/>
  <c r="J27" i="6"/>
  <c r="I29" i="6" s="1"/>
  <c r="I33" i="9" s="1"/>
  <c r="AA27" i="6"/>
  <c r="Z29" i="6" s="1"/>
  <c r="Z33" i="9" s="1"/>
  <c r="K31" i="6"/>
  <c r="J33" i="6" s="1"/>
  <c r="J39" i="10" s="1"/>
  <c r="AB31" i="6"/>
  <c r="AA33" i="6" s="1"/>
  <c r="AA39" i="10" s="1"/>
  <c r="M35" i="6"/>
  <c r="L37" i="6" s="1"/>
  <c r="L39" i="11" s="1"/>
  <c r="AE35" i="6"/>
  <c r="AD37" i="6" s="1"/>
  <c r="AD39" i="11" s="1"/>
  <c r="K27" i="6"/>
  <c r="J29" i="6" s="1"/>
  <c r="J33" i="9" s="1"/>
  <c r="AB27" i="6"/>
  <c r="AA29" i="6" s="1"/>
  <c r="AA33" i="9" s="1"/>
  <c r="L31" i="6"/>
  <c r="K33" i="6" s="1"/>
  <c r="K39" i="10" s="1"/>
  <c r="AD31" i="6"/>
  <c r="AC33" i="6" s="1"/>
  <c r="AC39" i="10" s="1"/>
  <c r="Q35" i="6"/>
  <c r="P37" i="6" s="1"/>
  <c r="P39" i="11" s="1"/>
  <c r="AF35" i="6"/>
  <c r="AE37" i="6" s="1"/>
  <c r="AE39" i="11" s="1"/>
  <c r="V39" i="6"/>
  <c r="V41" i="6" s="1"/>
  <c r="V41" i="12" s="1"/>
  <c r="X33" i="8"/>
  <c r="X35" i="8" s="1"/>
  <c r="X45" i="8" s="1"/>
  <c r="Q32" i="10"/>
  <c r="C22" i="12"/>
  <c r="C23" i="12" s="1"/>
  <c r="C10" i="3"/>
  <c r="C11" i="3" s="1"/>
  <c r="AF34" i="8"/>
  <c r="V34" i="8"/>
  <c r="L34" i="8"/>
  <c r="E33" i="10"/>
  <c r="D33" i="10"/>
  <c r="AB34" i="8"/>
  <c r="R34" i="8"/>
  <c r="H34" i="8"/>
  <c r="AA34" i="8"/>
  <c r="Q34" i="8"/>
  <c r="G34" i="8"/>
  <c r="D35" i="12"/>
  <c r="N34" i="8"/>
  <c r="AC34" i="8"/>
  <c r="D33" i="11"/>
  <c r="O34" i="8"/>
  <c r="AD34" i="8"/>
  <c r="C22" i="11"/>
  <c r="C23" i="11" s="1"/>
  <c r="P34" i="8"/>
  <c r="AE34" i="8"/>
  <c r="R35" i="8" l="1"/>
  <c r="R45" i="8" s="1"/>
  <c r="AD35" i="8"/>
  <c r="AD45" i="8" s="1"/>
  <c r="L35" i="8"/>
  <c r="L45" i="8" s="1"/>
  <c r="C25" i="11"/>
  <c r="C27" i="11" s="1"/>
  <c r="F5" i="11" s="1"/>
  <c r="F8" i="2" s="1"/>
  <c r="F5" i="8"/>
  <c r="C8" i="2" s="1"/>
  <c r="C22" i="9"/>
  <c r="C24" i="9"/>
  <c r="C23" i="9"/>
  <c r="C25" i="12"/>
  <c r="C26" i="12" s="1"/>
  <c r="C27" i="12"/>
  <c r="F5" i="12" s="1"/>
  <c r="G8" i="2" s="1"/>
  <c r="AB35" i="8"/>
  <c r="AB45" i="8" s="1"/>
  <c r="P35" i="8"/>
  <c r="P45" i="8" s="1"/>
  <c r="O35" i="8"/>
  <c r="O45" i="8" s="1"/>
  <c r="AE35" i="8"/>
  <c r="AE45" i="8" s="1"/>
  <c r="C22" i="10"/>
  <c r="C23" i="10" s="1"/>
  <c r="AC35" i="8"/>
  <c r="AC45" i="8" s="1"/>
  <c r="Q35" i="8"/>
  <c r="Q45" i="8" s="1"/>
  <c r="AF35" i="8"/>
  <c r="AF45" i="8" s="1"/>
  <c r="N35" i="8"/>
  <c r="N45" i="8" s="1"/>
  <c r="AA35" i="8"/>
  <c r="AA45" i="8" s="1"/>
  <c r="G35" i="8"/>
  <c r="G45" i="8" s="1"/>
  <c r="V35" i="8"/>
  <c r="V45" i="8" s="1"/>
  <c r="H35" i="8"/>
  <c r="H45" i="8" s="1"/>
  <c r="C25" i="10" l="1"/>
  <c r="C27" i="10" s="1"/>
  <c r="F5" i="10" s="1"/>
  <c r="E8" i="2" s="1"/>
  <c r="F5" i="9"/>
  <c r="D8" i="2" s="1"/>
  <c r="C161" i="5"/>
  <c r="AG45" i="8" s="1"/>
  <c r="AD27" i="9"/>
  <c r="AD32" i="9" s="1"/>
  <c r="AD34" i="9" s="1"/>
  <c r="T27" i="9"/>
  <c r="T32" i="9" s="1"/>
  <c r="T34" i="9" s="1"/>
  <c r="J27" i="9"/>
  <c r="J32" i="9" s="1"/>
  <c r="J34" i="9" s="1"/>
  <c r="Z27" i="9"/>
  <c r="Z32" i="9" s="1"/>
  <c r="Z34" i="9" s="1"/>
  <c r="P27" i="9"/>
  <c r="P32" i="9" s="1"/>
  <c r="P34" i="9" s="1"/>
  <c r="F27" i="9"/>
  <c r="F32" i="9" s="1"/>
  <c r="F34" i="9" s="1"/>
  <c r="H5" i="9"/>
  <c r="Y27" i="9"/>
  <c r="Y32" i="9" s="1"/>
  <c r="Y34" i="9" s="1"/>
  <c r="O27" i="9"/>
  <c r="O32" i="9" s="1"/>
  <c r="O34" i="9" s="1"/>
  <c r="E27" i="9"/>
  <c r="E32" i="9" s="1"/>
  <c r="E34" i="9" s="1"/>
  <c r="G5" i="9"/>
  <c r="D9" i="2" s="1"/>
  <c r="AC27" i="9"/>
  <c r="AC32" i="9" s="1"/>
  <c r="AC34" i="9" s="1"/>
  <c r="N27" i="9"/>
  <c r="N32" i="9" s="1"/>
  <c r="N34" i="9" s="1"/>
  <c r="X27" i="9"/>
  <c r="X32" i="9" s="1"/>
  <c r="X34" i="9" s="1"/>
  <c r="AB27" i="9"/>
  <c r="AB32" i="9" s="1"/>
  <c r="AB34" i="9" s="1"/>
  <c r="M27" i="9"/>
  <c r="M32" i="9" s="1"/>
  <c r="M34" i="9" s="1"/>
  <c r="K27" i="9"/>
  <c r="K32" i="9" s="1"/>
  <c r="K34" i="9" s="1"/>
  <c r="AA27" i="9"/>
  <c r="AA32" i="9" s="1"/>
  <c r="AA34" i="9" s="1"/>
  <c r="L27" i="9"/>
  <c r="L32" i="9" s="1"/>
  <c r="L34" i="9" s="1"/>
  <c r="AG27" i="9"/>
  <c r="AG32" i="9" s="1"/>
  <c r="AG34" i="9" s="1"/>
  <c r="S27" i="9"/>
  <c r="S32" i="9" s="1"/>
  <c r="S34" i="9" s="1"/>
  <c r="D27" i="9"/>
  <c r="D32" i="9" s="1"/>
  <c r="AF27" i="9"/>
  <c r="AF32" i="9" s="1"/>
  <c r="AF34" i="9" s="1"/>
  <c r="R27" i="9"/>
  <c r="R32" i="9" s="1"/>
  <c r="R34" i="9" s="1"/>
  <c r="Q27" i="9"/>
  <c r="Q32" i="9" s="1"/>
  <c r="Q34" i="9" s="1"/>
  <c r="I27" i="9"/>
  <c r="I32" i="9" s="1"/>
  <c r="I34" i="9" s="1"/>
  <c r="H27" i="9"/>
  <c r="H32" i="9" s="1"/>
  <c r="H34" i="9" s="1"/>
  <c r="G27" i="9"/>
  <c r="G32" i="9" s="1"/>
  <c r="G34" i="9" s="1"/>
  <c r="AE27" i="9"/>
  <c r="AE32" i="9" s="1"/>
  <c r="AE34" i="9" s="1"/>
  <c r="W27" i="9"/>
  <c r="W32" i="9" s="1"/>
  <c r="W34" i="9" s="1"/>
  <c r="V27" i="9"/>
  <c r="V32" i="9" s="1"/>
  <c r="V34" i="9" s="1"/>
  <c r="U27" i="9"/>
  <c r="U32" i="9" s="1"/>
  <c r="U34" i="9" s="1"/>
  <c r="C26" i="11"/>
  <c r="AF30" i="12"/>
  <c r="AF40" i="12" s="1"/>
  <c r="AF42" i="12" s="1"/>
  <c r="V30" i="12"/>
  <c r="V40" i="12" s="1"/>
  <c r="V42" i="12" s="1"/>
  <c r="L30" i="12"/>
  <c r="L40" i="12" s="1"/>
  <c r="L42" i="12" s="1"/>
  <c r="AE30" i="12"/>
  <c r="AE40" i="12" s="1"/>
  <c r="AE42" i="12" s="1"/>
  <c r="U30" i="12"/>
  <c r="U40" i="12" s="1"/>
  <c r="U42" i="12" s="1"/>
  <c r="K30" i="12"/>
  <c r="K40" i="12" s="1"/>
  <c r="K42" i="12" s="1"/>
  <c r="AC30" i="12"/>
  <c r="AC40" i="12" s="1"/>
  <c r="AC42" i="12" s="1"/>
  <c r="S30" i="12"/>
  <c r="S40" i="12" s="1"/>
  <c r="S42" i="12" s="1"/>
  <c r="I30" i="12"/>
  <c r="I40" i="12" s="1"/>
  <c r="I42" i="12" s="1"/>
  <c r="AB30" i="12"/>
  <c r="AB40" i="12" s="1"/>
  <c r="AB42" i="12" s="1"/>
  <c r="R30" i="12"/>
  <c r="R40" i="12" s="1"/>
  <c r="R42" i="12" s="1"/>
  <c r="H30" i="12"/>
  <c r="H40" i="12" s="1"/>
  <c r="H42" i="12" s="1"/>
  <c r="AA30" i="12"/>
  <c r="AA40" i="12" s="1"/>
  <c r="AA42" i="12" s="1"/>
  <c r="Q30" i="12"/>
  <c r="Q40" i="12" s="1"/>
  <c r="Q42" i="12" s="1"/>
  <c r="G30" i="12"/>
  <c r="G40" i="12" s="1"/>
  <c r="G42" i="12" s="1"/>
  <c r="Z30" i="12"/>
  <c r="Z40" i="12" s="1"/>
  <c r="Z42" i="12" s="1"/>
  <c r="P30" i="12"/>
  <c r="P40" i="12" s="1"/>
  <c r="P42" i="12" s="1"/>
  <c r="F30" i="12"/>
  <c r="F40" i="12" s="1"/>
  <c r="F42" i="12" s="1"/>
  <c r="Y30" i="12"/>
  <c r="Y40" i="12" s="1"/>
  <c r="Y42" i="12" s="1"/>
  <c r="O30" i="12"/>
  <c r="O40" i="12" s="1"/>
  <c r="O42" i="12" s="1"/>
  <c r="E30" i="12"/>
  <c r="E40" i="12" s="1"/>
  <c r="E42" i="12" s="1"/>
  <c r="H5" i="12"/>
  <c r="X30" i="12"/>
  <c r="X40" i="12" s="1"/>
  <c r="X42" i="12" s="1"/>
  <c r="N30" i="12"/>
  <c r="N40" i="12" s="1"/>
  <c r="N42" i="12" s="1"/>
  <c r="D30" i="12"/>
  <c r="D40" i="12" s="1"/>
  <c r="G5" i="12"/>
  <c r="G9" i="2" s="1"/>
  <c r="T30" i="12"/>
  <c r="T40" i="12" s="1"/>
  <c r="T42" i="12" s="1"/>
  <c r="M30" i="12"/>
  <c r="M40" i="12" s="1"/>
  <c r="M42" i="12" s="1"/>
  <c r="AD30" i="12"/>
  <c r="AD40" i="12" s="1"/>
  <c r="AD42" i="12" s="1"/>
  <c r="W30" i="12"/>
  <c r="W40" i="12" s="1"/>
  <c r="W42" i="12" s="1"/>
  <c r="J30" i="12"/>
  <c r="J40" i="12" s="1"/>
  <c r="J42" i="12" s="1"/>
  <c r="AG30" i="12"/>
  <c r="AG40" i="12" s="1"/>
  <c r="AG42" i="12" s="1"/>
  <c r="E5" i="8" l="1"/>
  <c r="C15" i="2" s="1"/>
  <c r="C20" i="2" s="1"/>
  <c r="D5" i="8"/>
  <c r="C13" i="2" s="1"/>
  <c r="C14" i="2" s="1"/>
  <c r="G10" i="2"/>
  <c r="G6" i="3"/>
  <c r="Z30" i="11"/>
  <c r="Z38" i="11" s="1"/>
  <c r="Z40" i="11" s="1"/>
  <c r="P30" i="11"/>
  <c r="P38" i="11" s="1"/>
  <c r="P40" i="11" s="1"/>
  <c r="F30" i="11"/>
  <c r="F38" i="11" s="1"/>
  <c r="F40" i="11" s="1"/>
  <c r="H5" i="11"/>
  <c r="Y30" i="11"/>
  <c r="Y38" i="11" s="1"/>
  <c r="Y40" i="11" s="1"/>
  <c r="O30" i="11"/>
  <c r="O38" i="11" s="1"/>
  <c r="O40" i="11" s="1"/>
  <c r="E30" i="11"/>
  <c r="E38" i="11" s="1"/>
  <c r="E40" i="11" s="1"/>
  <c r="G5" i="11"/>
  <c r="F9" i="2" s="1"/>
  <c r="AG30" i="11"/>
  <c r="AG38" i="11" s="1"/>
  <c r="AG40" i="11" s="1"/>
  <c r="W30" i="11"/>
  <c r="W38" i="11" s="1"/>
  <c r="W40" i="11" s="1"/>
  <c r="M30" i="11"/>
  <c r="M38" i="11" s="1"/>
  <c r="M40" i="11" s="1"/>
  <c r="AF30" i="11"/>
  <c r="AF38" i="11" s="1"/>
  <c r="AF40" i="11" s="1"/>
  <c r="V30" i="11"/>
  <c r="V38" i="11" s="1"/>
  <c r="V40" i="11" s="1"/>
  <c r="L30" i="11"/>
  <c r="L38" i="11" s="1"/>
  <c r="L40" i="11" s="1"/>
  <c r="AE30" i="11"/>
  <c r="AE38" i="11" s="1"/>
  <c r="AE40" i="11" s="1"/>
  <c r="U30" i="11"/>
  <c r="U38" i="11" s="1"/>
  <c r="U40" i="11" s="1"/>
  <c r="K30" i="11"/>
  <c r="K38" i="11" s="1"/>
  <c r="K40" i="11" s="1"/>
  <c r="AD30" i="11"/>
  <c r="AD38" i="11" s="1"/>
  <c r="AD40" i="11" s="1"/>
  <c r="T30" i="11"/>
  <c r="T38" i="11" s="1"/>
  <c r="T40" i="11" s="1"/>
  <c r="J30" i="11"/>
  <c r="J38" i="11" s="1"/>
  <c r="J40" i="11" s="1"/>
  <c r="AC30" i="11"/>
  <c r="AC38" i="11" s="1"/>
  <c r="AC40" i="11" s="1"/>
  <c r="S30" i="11"/>
  <c r="S38" i="11" s="1"/>
  <c r="S40" i="11" s="1"/>
  <c r="I30" i="11"/>
  <c r="I38" i="11" s="1"/>
  <c r="I40" i="11" s="1"/>
  <c r="AB30" i="11"/>
  <c r="AB38" i="11" s="1"/>
  <c r="AB40" i="11" s="1"/>
  <c r="R30" i="11"/>
  <c r="R38" i="11" s="1"/>
  <c r="R40" i="11" s="1"/>
  <c r="H30" i="11"/>
  <c r="H38" i="11" s="1"/>
  <c r="H40" i="11" s="1"/>
  <c r="X30" i="11"/>
  <c r="X38" i="11" s="1"/>
  <c r="X40" i="11" s="1"/>
  <c r="Q30" i="11"/>
  <c r="Q38" i="11" s="1"/>
  <c r="Q40" i="11" s="1"/>
  <c r="N30" i="11"/>
  <c r="N38" i="11" s="1"/>
  <c r="N40" i="11" s="1"/>
  <c r="G30" i="11"/>
  <c r="G38" i="11" s="1"/>
  <c r="G40" i="11" s="1"/>
  <c r="AA30" i="11"/>
  <c r="AA38" i="11" s="1"/>
  <c r="AA40" i="11" s="1"/>
  <c r="D30" i="11"/>
  <c r="D38" i="11" s="1"/>
  <c r="D34" i="9"/>
  <c r="E5" i="9" s="1"/>
  <c r="D15" i="2" s="1"/>
  <c r="D5" i="9"/>
  <c r="D13" i="2" s="1"/>
  <c r="D5" i="12"/>
  <c r="G13" i="2" s="1"/>
  <c r="D42" i="12"/>
  <c r="E5" i="12" s="1"/>
  <c r="G15" i="2" s="1"/>
  <c r="D10" i="2"/>
  <c r="D6" i="3"/>
  <c r="C26" i="10"/>
  <c r="C21" i="2" l="1"/>
  <c r="D20" i="2"/>
  <c r="D14" i="2"/>
  <c r="D21" i="2"/>
  <c r="D40" i="11"/>
  <c r="E5" i="11" s="1"/>
  <c r="F15" i="2" s="1"/>
  <c r="D5" i="11"/>
  <c r="F13" i="2" s="1"/>
  <c r="F6" i="3"/>
  <c r="F10" i="2"/>
  <c r="D7" i="3"/>
  <c r="D10" i="3"/>
  <c r="D11" i="3" s="1"/>
  <c r="AB30" i="10"/>
  <c r="AB38" i="10" s="1"/>
  <c r="AB40" i="10" s="1"/>
  <c r="R30" i="10"/>
  <c r="R38" i="10" s="1"/>
  <c r="R40" i="10" s="1"/>
  <c r="H30" i="10"/>
  <c r="H38" i="10" s="1"/>
  <c r="H40" i="10" s="1"/>
  <c r="X30" i="10"/>
  <c r="X38" i="10" s="1"/>
  <c r="X40" i="10" s="1"/>
  <c r="N30" i="10"/>
  <c r="N38" i="10" s="1"/>
  <c r="N40" i="10" s="1"/>
  <c r="D30" i="10"/>
  <c r="D38" i="10" s="1"/>
  <c r="AG30" i="10"/>
  <c r="AG38" i="10" s="1"/>
  <c r="AG40" i="10" s="1"/>
  <c r="W30" i="10"/>
  <c r="W38" i="10" s="1"/>
  <c r="W40" i="10" s="1"/>
  <c r="M30" i="10"/>
  <c r="M38" i="10" s="1"/>
  <c r="M40" i="10" s="1"/>
  <c r="AC30" i="10"/>
  <c r="AC38" i="10" s="1"/>
  <c r="AC40" i="10" s="1"/>
  <c r="O30" i="10"/>
  <c r="O38" i="10" s="1"/>
  <c r="O40" i="10" s="1"/>
  <c r="Y30" i="10"/>
  <c r="Y38" i="10" s="1"/>
  <c r="Y40" i="10" s="1"/>
  <c r="AA30" i="10"/>
  <c r="AA38" i="10" s="1"/>
  <c r="AA40" i="10" s="1"/>
  <c r="L30" i="10"/>
  <c r="L38" i="10" s="1"/>
  <c r="L40" i="10" s="1"/>
  <c r="H5" i="10"/>
  <c r="J30" i="10"/>
  <c r="J38" i="10" s="1"/>
  <c r="J40" i="10" s="1"/>
  <c r="Z30" i="10"/>
  <c r="Z38" i="10" s="1"/>
  <c r="Z40" i="10" s="1"/>
  <c r="K30" i="10"/>
  <c r="K38" i="10" s="1"/>
  <c r="K40" i="10" s="1"/>
  <c r="G5" i="10"/>
  <c r="E9" i="2" s="1"/>
  <c r="AF30" i="10"/>
  <c r="AF38" i="10" s="1"/>
  <c r="AF40" i="10" s="1"/>
  <c r="S30" i="10"/>
  <c r="S38" i="10" s="1"/>
  <c r="S40" i="10" s="1"/>
  <c r="E30" i="10"/>
  <c r="E38" i="10" s="1"/>
  <c r="E40" i="10" s="1"/>
  <c r="AE30" i="10"/>
  <c r="AE38" i="10" s="1"/>
  <c r="AE40" i="10" s="1"/>
  <c r="Q30" i="10"/>
  <c r="Q38" i="10" s="1"/>
  <c r="Q40" i="10" s="1"/>
  <c r="G30" i="10"/>
  <c r="G38" i="10" s="1"/>
  <c r="G40" i="10" s="1"/>
  <c r="F30" i="10"/>
  <c r="F38" i="10" s="1"/>
  <c r="F40" i="10" s="1"/>
  <c r="AD30" i="10"/>
  <c r="AD38" i="10" s="1"/>
  <c r="AD40" i="10" s="1"/>
  <c r="V30" i="10"/>
  <c r="V38" i="10" s="1"/>
  <c r="V40" i="10" s="1"/>
  <c r="U30" i="10"/>
  <c r="U38" i="10" s="1"/>
  <c r="U40" i="10" s="1"/>
  <c r="T30" i="10"/>
  <c r="T38" i="10" s="1"/>
  <c r="T40" i="10" s="1"/>
  <c r="P30" i="10"/>
  <c r="P38" i="10" s="1"/>
  <c r="P40" i="10" s="1"/>
  <c r="I30" i="10"/>
  <c r="I38" i="10" s="1"/>
  <c r="I40" i="10" s="1"/>
  <c r="G20" i="2"/>
  <c r="G14" i="2"/>
  <c r="G21" i="2"/>
  <c r="G7" i="3"/>
  <c r="G10" i="3"/>
  <c r="G11" i="3" s="1"/>
  <c r="F10" i="3" l="1"/>
  <c r="F11" i="3" s="1"/>
  <c r="F7" i="3"/>
  <c r="D40" i="10"/>
  <c r="E5" i="10" s="1"/>
  <c r="E15" i="2" s="1"/>
  <c r="D5" i="10"/>
  <c r="E13" i="2" s="1"/>
  <c r="E10" i="2"/>
  <c r="E6" i="3"/>
  <c r="F21" i="2"/>
  <c r="F16" i="2"/>
  <c r="F20" i="2"/>
  <c r="F14" i="2"/>
  <c r="E7" i="3" l="1"/>
  <c r="E10" i="3"/>
  <c r="E11" i="3" s="1"/>
  <c r="E20" i="2"/>
  <c r="E16" i="2"/>
  <c r="E14" i="2"/>
  <c r="E21" i="2"/>
  <c r="D16" i="2"/>
  <c r="G16" i="2"/>
  <c r="C16" i="2"/>
</calcChain>
</file>

<file path=xl/sharedStrings.xml><?xml version="1.0" encoding="utf-8"?>
<sst xmlns="http://schemas.openxmlformats.org/spreadsheetml/2006/main" count="1057" uniqueCount="736">
  <si>
    <t>Town of Manlius — Facility Cost-Benefit Analysis</t>
  </si>
  <si>
    <t>Overview of the project, the options, and how to use this workbook</t>
  </si>
  <si>
    <t>This workbook compares realistic ways of addressing three facility problems: an aging Town Hall, an undersized leased police building, and a court that lacks proper space and security. It is an internal planning tool to help Town leadership choose a direction and decide what professional work to commission next. The figures are planning-level estimates for comparison, not final budget numbers or a commitment to any option.</t>
  </si>
  <si>
    <t>A companion Word document, "Manlius CBA Overview &amp; Explanations," gives the fuller narrative, the reasoning behind each cost item, and the sources. This tab is a built-in summary so the key points travel with the workbook.</t>
  </si>
  <si>
    <t>The tabs in this workbook</t>
  </si>
  <si>
    <t>Comparison — the five options side by side. Costs are shown as negative numbers; benefits are positive.</t>
  </si>
  <si>
    <t>Tax Levy Impact — the effect on the tax levy and a median home if an option is financed with debt.</t>
  </si>
  <si>
    <t>Assumptions — the framing judgments and key inputs, including the benefit values referenced by the Benefits tab.</t>
  </si>
  <si>
    <t>Parameters — every input value with its source.</t>
  </si>
  <si>
    <t>Benefits — the monetized benefits and how they flow into each option.</t>
  </si>
  <si>
    <t>Scenario A through E — the full 30-year cost detail for each option.</t>
  </si>
  <si>
    <t>Glossary — plain-language definitions of the technical terms.</t>
  </si>
  <si>
    <t>How to read the numbers</t>
  </si>
  <si>
    <t>Thirty years, in today's dollars</t>
  </si>
  <si>
    <t>Every option is measured over 30 years. Future costs are converted to today's dollars (discounted at 4%) so options that spend money in different years compare fairly. This is the Present Value (PV). Because these are costs, they appear as negative numbers.</t>
  </si>
  <si>
    <t>Costs against benefits</t>
  </si>
  <si>
    <t>Each option totals its construction or repair costs, yearly operating costs, and the cost of carrying risk. Benefits we could put a dollar value on (avoided risk, lower insurance, efficiency) are then subtracted. Hard-to-measure benefits like civic pride are described but not counted.</t>
  </si>
  <si>
    <t>Why "doing the minimum" is not cheap</t>
  </si>
  <si>
    <t>Doing the minimum delays the problem but does not remove it. Buildings keep aging and systems keep failing. The analysis treats the status quo as a real cost, including future repairs and the cost of eventually building anyway.</t>
  </si>
  <si>
    <t>The five options</t>
  </si>
  <si>
    <t>Scenario A — Do Minimum</t>
  </si>
  <si>
    <t>Fix urgent problems, keep renting the police building, keep the existing Town Hall. Includes a schedule of future repairs (boiler, roof, HVAC, and so on) because keeping an old building running has predictable costs, plus an eventual deferred build.</t>
  </si>
  <si>
    <t>Scenario B — Full Rebuild</t>
  </si>
  <si>
    <t>One new ~50,000 sqft building for Town Hall, Police, and Court. Sell the old Town Hall and end the police lease. Built on the Trophy Point professional estimate; the most reliable of the five.</t>
  </si>
  <si>
    <t>Scenario C — Split</t>
  </si>
  <si>
    <t>Build a new Police/Court building and renovate and expand the Town Hall. The Town Hall work is about $10.5M because the VIP study found it needs an addition, not just a renovation.</t>
  </si>
  <si>
    <t>Scenario D — Purchase</t>
  </si>
  <si>
    <t>Buy and convert an existing building for Police and Court, and renovate and expand the Town Hall. Lowest-confidence option because no building has been identified yet.</t>
  </si>
  <si>
    <t>Scenario E — Purchase + Do-Minimum Town Hall</t>
  </si>
  <si>
    <t>Buy and convert a building for Police and Court (like D), but give the Town Hall only base repairs (like A). Solves the police problem at the lowest UPFRONT cost, but the Town Hall's accessibility and space problems remain — and the deferred Town Hall renovation in Year 30 makes E cost more than D over 30 years.</t>
  </si>
  <si>
    <t>What this analysis can and cannot do</t>
  </si>
  <si>
    <t>It can support a decision about direction and show what professional work to commission next. It cannot serve as a final budget and does not replace an engineering study, a bond-capacity opinion, an asbestos survey, or an appraisal.</t>
  </si>
  <si>
    <t>Confidence by option: B is highest (professional estimate); C is good (VIP study plus cost rates); A is lower (Town estimates); D and E are lowest (no building identified, conversion cost uncertain).</t>
  </si>
  <si>
    <t>Town of Manlius — 5-Scenario Comparison</t>
  </si>
  <si>
    <t>Side-by-side summary. Scenarios B and C are anchored by Trophy Point and VIP engineering estimates. Scenarios D and E carry the highest cost uncertainty (no building identified yet). E defers the Town Hall renovation to Year 30; on a 30-year NPV basis Scenario D is lowest.</t>
  </si>
  <si>
    <t>Metric</t>
  </si>
  <si>
    <t>Scenario A</t>
  </si>
  <si>
    <t>Scenario B</t>
  </si>
  <si>
    <t>Scenario C</t>
  </si>
  <si>
    <t>Scenario D</t>
  </si>
  <si>
    <t>Scenario E</t>
  </si>
  <si>
    <t>Notes</t>
  </si>
  <si>
    <t>Description</t>
  </si>
  <si>
    <t>Status quo + compliance</t>
  </si>
  <si>
    <t>50K sqft new combined facility</t>
  </si>
  <si>
    <t>New PD/Court + renov+add TH</t>
  </si>
  <si>
    <t>Purchase bldg + renov+add TH</t>
  </si>
  <si>
    <t>Purchase bldg + do-min TH</t>
  </si>
  <si>
    <t>CAPITAL COSTS</t>
  </si>
  <si>
    <t>Total project cost</t>
  </si>
  <si>
    <t>S0 = Yr 1 remediation only</t>
  </si>
  <si>
    <t>Amount to be bonded</t>
  </si>
  <si>
    <t>Net of grants</t>
  </si>
  <si>
    <t>Annual debt service</t>
  </si>
  <si>
    <t>30-yr bond at 4.5%</t>
  </si>
  <si>
    <t>30-YEAR FINANCIAL ANALYSIS (costs shown as negative)</t>
  </si>
  <si>
    <t>30-yr Gross Cost (PV, cost only)</t>
  </si>
  <si>
    <t>Discounted at 4%; before benefits</t>
  </si>
  <si>
    <t>30-yr Benefits NPV</t>
  </si>
  <si>
    <t>Tier 1+2 monetized</t>
  </si>
  <si>
    <t>30-yr Net PV (cost after benefits)</t>
  </si>
  <si>
    <t>**KEY METRIC**</t>
  </si>
  <si>
    <t>Differential vs. lowest</t>
  </si>
  <si>
    <t>$0 = lowest</t>
  </si>
  <si>
    <t>COST PER RESIDENT</t>
  </si>
  <si>
    <t>Town population</t>
  </si>
  <si>
    <t>Net PV per resident (if financed w/ debt)</t>
  </si>
  <si>
    <t>Avg annual cost per resident (if financed w/ debt)</t>
  </si>
  <si>
    <t>KEY DRIVERS / DECISION FACTORS</t>
  </si>
  <si>
    <t>Solves the building problem</t>
  </si>
  <si>
    <t>No — defers</t>
  </si>
  <si>
    <t>Yes — fully</t>
  </si>
  <si>
    <t>Yes — partial</t>
  </si>
  <si>
    <t>Cost estimate basis</t>
  </si>
  <si>
    <t>Estimates</t>
  </si>
  <si>
    <t>Trophy Point (real)</t>
  </si>
  <si>
    <t>VIP study + TP rates</t>
  </si>
  <si>
    <t>Highest uncertainty</t>
  </si>
  <si>
    <t>Police properly sized</t>
  </si>
  <si>
    <t>No (220 sqft/emp)</t>
  </si>
  <si>
    <t>Yes (~425/emp)</t>
  </si>
  <si>
    <t>Depends on building</t>
  </si>
  <si>
    <t>Town owns asset</t>
  </si>
  <si>
    <t>No PD ownership</t>
  </si>
  <si>
    <t>Yes (full)</t>
  </si>
  <si>
    <t>Mixed</t>
  </si>
  <si>
    <t>Lease dependency</t>
  </si>
  <si>
    <t>Continues</t>
  </si>
  <si>
    <t>Eliminated</t>
  </si>
  <si>
    <t>Asbestos exposure</t>
  </si>
  <si>
    <t>Continues in TH</t>
  </si>
  <si>
    <t>Construction discovery risk</t>
  </si>
  <si>
    <t>Low</t>
  </si>
  <si>
    <t>Low (new site)</t>
  </si>
  <si>
    <t>HIGH (TH renov)</t>
  </si>
  <si>
    <t>VERY HIGH (TH + purchased bldg)</t>
  </si>
  <si>
    <t>HIGH (purchased bldg)</t>
  </si>
  <si>
    <t>Construction timeline</t>
  </si>
  <si>
    <t>Year 1</t>
  </si>
  <si>
    <t>2 yrs</t>
  </si>
  <si>
    <t>3 yrs (2+1)</t>
  </si>
  <si>
    <t>2 yrs (1+1)</t>
  </si>
  <si>
    <t>1–2 yrs</t>
  </si>
  <si>
    <t>Future flexibility</t>
  </si>
  <si>
    <t>Constrained</t>
  </si>
  <si>
    <t>Designed for growth</t>
  </si>
  <si>
    <t>Limited</t>
  </si>
  <si>
    <t>Political case</t>
  </si>
  <si>
    <t>Status quo</t>
  </si>
  <si>
    <t>Transformational</t>
  </si>
  <si>
    <t>Compromise</t>
  </si>
  <si>
    <t>Pragmatic</t>
  </si>
  <si>
    <t>Pragmatic / low-cost</t>
  </si>
  <si>
    <t>Approval complexity</t>
  </si>
  <si>
    <t>Town Board</t>
  </si>
  <si>
    <t>Bond referendum</t>
  </si>
  <si>
    <t>Site identification needed</t>
  </si>
  <si>
    <t>No</t>
  </si>
  <si>
    <t>Yes</t>
  </si>
  <si>
    <t>Yes — must find building</t>
  </si>
  <si>
    <t>CRITICAL ASSUMPTIONS TO CONFIRM</t>
  </si>
  <si>
    <t>Bond counsel memo on debt capacity ($35-47M range across scenarios)</t>
  </si>
  <si>
    <t>Comprehensive asbestos survey on Town Hall — affects C, D (renovation) and E (base repairs)</t>
  </si>
  <si>
    <t>Police chief confirms 20-yr growth (+7 placeholder)</t>
  </si>
  <si>
    <t>Site identification for B and C; building identification for D and E</t>
  </si>
  <si>
    <t>Conversation with Village re: Village Centre plans</t>
  </si>
  <si>
    <t>Real grants pipeline (DASNY/NYSERDA/DCJS)</t>
  </si>
  <si>
    <t>Insurance broker memo on premium impact</t>
  </si>
  <si>
    <t>Town Hall demographic placeholders (population, assessed value, median home)</t>
  </si>
  <si>
    <t>$125K Buildings Maintenance Contract line — recurring or one-time?</t>
  </si>
  <si>
    <t>Tax Levy Impact</t>
  </si>
  <si>
    <t>Effect on the General Fund tax levy and on a median home IF a scenario is financed using debt (a 30-year bond). These figures assume the full bonded amount is raised through the property tax levy. Actual impact depends on grants, reserves, and the Town's final financing decision.</t>
  </si>
  <si>
    <t>Current General Fund tax levy (2026)</t>
  </si>
  <si>
    <t>Same for all (2026 budget)</t>
  </si>
  <si>
    <t>Annual debt service (if bonded)</t>
  </si>
  <si>
    <t>% increase to GF levy</t>
  </si>
  <si>
    <t>Total town TAXABLE value</t>
  </si>
  <si>
    <t>Town Assessor</t>
  </si>
  <si>
    <t>Median home assessed value</t>
  </si>
  <si>
    <t>Est. annual tax increase on median home</t>
  </si>
  <si>
    <t>Est. monthly increase on median home</t>
  </si>
  <si>
    <t>How to read this tab</t>
  </si>
  <si>
    <t>• These numbers apply only if a scenario is financed with a 30-year bond (debt finance). Scenario A issues no debt, so its tax impact is $0.</t>
  </si>
  <si>
    <t>• The annual tax increase on a median home = (annual debt service ÷ total taxable value) × median home assessed value.</t>
  </si>
  <si>
    <t>• Taxable value ($4.8B) and median home ($332,100) are from the Town Assessor.</t>
  </si>
  <si>
    <t>• This is the gross levy impact before any grants, reserves, or fund balance the Town might apply to reduce what must be bonded.</t>
  </si>
  <si>
    <t>• How a bond interacts with the NYS property tax cap and the Town's debt limit must be confirmed by bond counsel and the financial advisor.</t>
  </si>
  <si>
    <t>CBA Assumptions</t>
  </si>
  <si>
    <t>Part 1 lists the framing and strategic assumptions that shaped the analysis and conclusions. Part 2 lists the key numeric inputs (full detail on the Parameters tab).</t>
  </si>
  <si>
    <t>PART 1 — FRAMING &amp; STRATEGIC ASSUMPTIONS (the judgments behind the conclusions)</t>
  </si>
  <si>
    <t>Column B = the assumption in brief.  Column C = what it means and why it matters.</t>
  </si>
  <si>
    <t>How the scenarios are compared</t>
  </si>
  <si>
    <t>30-year horizon is the right basis</t>
  </si>
  <si>
    <t>We compare all options over 30 years. A longer horizon would favor new construction more (assets last 50+ years); a shorter one would make 'do minimum' look better. 30 years is a standard municipal CBA window but it is a choice that affects the ranking.</t>
  </si>
  <si>
    <t>Net present value, not upfront cost, is the deciding metric</t>
  </si>
  <si>
    <t>We assume the right comparison is total discounted cost over 30 years — including operating, maintenance, and risk — not just the construction price tag. A cheaper building that costs more to run can be the worse choice.</t>
  </si>
  <si>
    <t>The status quo is not free</t>
  </si>
  <si>
    <t>We assume that doing nothing still carries real, accumulating costs: an aging building, a leased police facility, ongoing risk exposure, and eventual capital replacement. 'Do Minimum' is modeled as a real cost stream, not a zero baseline.</t>
  </si>
  <si>
    <t>Doing minimum defers but does not avoid the build</t>
  </si>
  <si>
    <t>We assume that at the end of 30 years the Town would still need to replace these facilities, so 'Do Minimum' includes the cost of building anyway at Year 30. This is the single biggest driver of that scenario's cost and reflects deferral, not avoidance. (Toggle in Parameters to test the strict 30-year-only view.)</t>
  </si>
  <si>
    <t>The buildings and the need</t>
  </si>
  <si>
    <t>The police facility is genuinely undersized</t>
  </si>
  <si>
    <t>We assume 205 sqft/employee is an operational problem, not just tight quarters, and that the department needs ~425 sqft/employee to function and grow. This drives the size — and therefore cost — of every build scenario.</t>
  </si>
  <si>
    <t>Renovation alone cannot fix the Town Hall</t>
  </si>
  <si>
    <t>We accept the VIP study's professional conclusion that the existing footprint cannot accommodate an elevator plus current functions, so an addition is required, not optional. This is why the renovation scenarios cost ~$10.5M, not the ~$5M a cosmetic renovation would.</t>
  </si>
  <si>
    <t>The existing Town Hall has resale value and can be sold</t>
  </si>
  <si>
    <t>Scenario B assumes the Town Hall can be sold for ~$1M and returned to the tax roll. This assumes a willing buyer and that selling a former municipal building is politically and practically acceptable.</t>
  </si>
  <si>
    <t>20-year growth to ~53 police employees</t>
  </si>
  <si>
    <t>We assume modest police growth (+7 over 20 years). If the town grows faster or service demands rise, every build scenario is undersized; if it shrinks, they are oversized.</t>
  </si>
  <si>
    <t>The police lease and the Village</t>
  </si>
  <si>
    <t>The Town can exit the police lease cooperatively</t>
  </si>
  <si>
    <t>We assume that when a new facility is ready, the Town can end the Village lease with normal notice and rent through the calendar year — i.e. the Village is a cooperative counterparty.</t>
  </si>
  <si>
    <t>The Village does not force the Town's hand early</t>
  </si>
  <si>
    <t>The lease auto-terminates if the Village sells the Village Centre. We assume this does not happen before the Town is ready. If it does, the Do Minimum timeline compresses and options narrow.</t>
  </si>
  <si>
    <t>Financial feasibility</t>
  </si>
  <si>
    <t>The Town can access bond financing at roughly current rates</t>
  </si>
  <si>
    <t>We assume a 30-year bond near current AA municipal rates (~4.5%). The cost estimates are credible, but whether the Town can carry the resulting debt service against the existing levy and tax cap is unconfirmed — this is a top open question.</t>
  </si>
  <si>
    <t>A project of this scale can win approval</t>
  </si>
  <si>
    <t>We assume the larger build scenarios can secure the necessary board and likely voter (bond referendum) approval. This is a political assumption, not a financial one.</t>
  </si>
  <si>
    <t>Benefits and the purchase scenarios (D and E)</t>
  </si>
  <si>
    <t>Benefits actually land in the budget</t>
  </si>
  <si>
    <t>We assume the avoided risks, insurance savings, and efficiency gains are activvly tracked and recorded, rather than being absorbed invisibly. If they aren't actively managed, the modeled benefits may appear to overstate the realized gain.</t>
  </si>
  <si>
    <t>A suitable building exists to purchase (Scenarios D and E)</t>
  </si>
  <si>
    <t>Scenarios D and E both assume a ~25,000 sqft building can be bought for around $1M and converted for police/court use. No specific building has been identified, so both are the least certain on the build side and their cost could change substantially once a real candidate is evaluated.</t>
  </si>
  <si>
    <t>Scenario E leaves the Town Hall problem unsolved, by design</t>
  </si>
  <si>
    <t>Scenario E has the lowest UPFRONT cost (~$8M) because it buys the police/court building (like D) but gives the Town Hall only base repairs instead of the full VIP renovation. However, like Scenario A, E does not solve the Town Hall — so the model charges E for that renovation as a DEFERRED build in Year 30 (the $10.5M VIP renovation+addition, escalated at construction inflation). On a 30-year NPV basis this makes E more expensive than D, which fixes the Town Hall up front. E trades a lower upfront cost for a larger deferred obligation and 30 more years of an unfixed Town Hall.</t>
  </si>
  <si>
    <t>What we deliberately did NOT monetize</t>
  </si>
  <si>
    <t>Civic and intangible value is acknowledged, not counted</t>
  </si>
  <si>
    <t>We assume civic pride, public-meeting dignity, community presence, and long-term flexibility are real but should stay out of the NPV to keep it credible. They belong in the narrative, not the spreadsheet.</t>
  </si>
  <si>
    <t>PART 2 — KEY NUMERIC INPUTS (reference; full detail on Parameters tab)</t>
  </si>
  <si>
    <t>These are the headline numbers behind the scenarios. The Parameters tab holds the complete, sourced list.</t>
  </si>
  <si>
    <t>Analysis</t>
  </si>
  <si>
    <t>Horizon / discount rate</t>
  </si>
  <si>
    <t>30 years · 4.0% NPV discount</t>
  </si>
  <si>
    <t>Inflation (general / construction / operating)</t>
  </si>
  <si>
    <t>2.5% / 4.0% / 3.0%</t>
  </si>
  <si>
    <t>Bond</t>
  </si>
  <si>
    <t>4.5%, 30-year term (placeholder pending advisor)</t>
  </si>
  <si>
    <t>Buildings &amp; program</t>
  </si>
  <si>
    <t>Town Hall existing size</t>
  </si>
  <si>
    <t>14,473 sqft (VIP measured)</t>
  </si>
  <si>
    <t>Police building (leased) / employees</t>
  </si>
  <si>
    <t>9,441 sqft · 46 today, 53 future</t>
  </si>
  <si>
    <t>Police standard used</t>
  </si>
  <si>
    <t>425 sqft/employee (mid of 350-500)</t>
  </si>
  <si>
    <t>Post-renovation Town Hall (B/C/D)</t>
  </si>
  <si>
    <t>22,288 sqft (existing + 7,815 addition)</t>
  </si>
  <si>
    <t>Headline costs by scenario</t>
  </si>
  <si>
    <t>~$1.0M Year 1 remediation + future capital + deferred build</t>
  </si>
  <si>
    <t>Trophy Point $39.6M construction; ~$47M all-in</t>
  </si>
  <si>
    <t>New PD/Court + VIP renovation+addition ($10.5M); ~$44M all-in</t>
  </si>
  <si>
    <t>$1M building + conversion + VIP renovation; ~$21M all-in</t>
  </si>
  <si>
    <t>$1M building + conversion + base Town Hall repairs; ~$8M upfront (lowest upfront), but +$10.5M deferred Town Hall build in Yr 30</t>
  </si>
  <si>
    <t>Key cost drivers</t>
  </si>
  <si>
    <t>VIP renovation + addition (B/C/D Town Hall)</t>
  </si>
  <si>
    <t>$10.5M (midpoint; excludes asbestos)</t>
  </si>
  <si>
    <t>Asbestos abatement</t>
  </si>
  <si>
    <t>$600K (estimate; needs survey)</t>
  </si>
  <si>
    <t>Land (B 7 acres / C 4 acres)</t>
  </si>
  <si>
    <t>$100K/acre → $750K / $450K</t>
  </si>
  <si>
    <t>Estimated grants</t>
  </si>
  <si>
    <t>$500K (placeholder)</t>
  </si>
  <si>
    <t>Demographics (population / median home)</t>
  </si>
  <si>
    <t xml:space="preserve">32,400 / $270K </t>
  </si>
  <si>
    <t>Confidence level of analysis by scenario</t>
  </si>
  <si>
    <t>LOW-MEDIUM — built on internal estimates; deferred build is a judgment</t>
  </si>
  <si>
    <t>HIGH — anchored by Trophy Point engineering estimate</t>
  </si>
  <si>
    <t>MEDIUM-HIGH — VIP study + Trophy Point rates; asbestos is the wildcard</t>
  </si>
  <si>
    <t>LOW — no building identified; conversion cost highly variable</t>
  </si>
  <si>
    <t>LOW — like D, no building identified and conversion cost variable; Town Hall left unaddressed adds long-term risk</t>
  </si>
  <si>
    <t>BENEFIT INPUT VALUES (referenced by the Benefits tab)</t>
  </si>
  <si>
    <t>These annual dollar values feed the Benefits tab by cell reference, so they are set in one place. Source/notes in the right column.</t>
  </si>
  <si>
    <t>Avoided risk-weighted exposure</t>
  </si>
  <si>
    <t>Sum of risk exposures (security, PESH, records, cash, insurance pressure); see Cost of Inaction in Parameters. Refine w/ broker.</t>
  </si>
  <si>
    <t>Insurance premium reduction</t>
  </si>
  <si>
    <t>~12% premium reduction from modern facility. Refine w/ insurance broker.</t>
  </si>
  <si>
    <t>Property tax recovery on sold TH</t>
  </si>
  <si>
    <t>Only Scenario B: sold Town Hall returns to tax roll.</t>
  </si>
  <si>
    <t>Police-Court co-location efficiency</t>
  </si>
  <si>
    <t>Shared sallyport/transport savings when PD and Court share a building.</t>
  </si>
  <si>
    <t>Staff productivity (workaround time)</t>
  </si>
  <si>
    <t>Recovered staff time from a functional building.</t>
  </si>
  <si>
    <t>Recruitment/retention (police)</t>
  </si>
  <si>
    <t>Reduced turnover/recruiting cost with adequate facilities.</t>
  </si>
  <si>
    <t>Health/wellness avoided costs</t>
  </si>
  <si>
    <t>Air quality, ergonomics, mold remediation avoided costs.</t>
  </si>
  <si>
    <t>Single-building maint efficiency</t>
  </si>
  <si>
    <t>Only Scenario B: one building vs two (shared HVAC/roof/systems).</t>
  </si>
  <si>
    <t>Town of Manlius — Town Hall / Police / Court CBA (v8)</t>
  </si>
  <si>
    <t>Updated: VIP renovation study integrated, Town Hall sqft corrected, Scenarios D and E added</t>
  </si>
  <si>
    <t>Blue=input. Yellow=TBD. Pink=Trophy Point. Light blue=VIP study. Purple=calculated.</t>
  </si>
  <si>
    <t>Parameter</t>
  </si>
  <si>
    <t>Value</t>
  </si>
  <si>
    <t>Unit</t>
  </si>
  <si>
    <t>Source / Notes</t>
  </si>
  <si>
    <t>Analysis Assumptions</t>
  </si>
  <si>
    <t>Analysis period</t>
  </si>
  <si>
    <t>years</t>
  </si>
  <si>
    <t>Standard</t>
  </si>
  <si>
    <t>Analysis start year</t>
  </si>
  <si>
    <t>year</t>
  </si>
  <si>
    <t>Bond 2026; construction 2026-2028</t>
  </si>
  <si>
    <t>Discount rate (NPV)</t>
  </si>
  <si>
    <t>%</t>
  </si>
  <si>
    <t>Municipal cost-of-capital</t>
  </si>
  <si>
    <t>General inflation</t>
  </si>
  <si>
    <t>Construction cost inflation</t>
  </si>
  <si>
    <t>Operating cost inflation</t>
  </si>
  <si>
    <t>Utility inflation</t>
  </si>
  <si>
    <t>Bond rate</t>
  </si>
  <si>
    <t>AA muni benchmark</t>
  </si>
  <si>
    <t>Bond term</t>
  </si>
  <si>
    <t>DEMOGRAPHIC / TAX BASE INPUTS</t>
  </si>
  <si>
    <t>residents</t>
  </si>
  <si>
    <t>2020 Census</t>
  </si>
  <si>
    <t>Households</t>
  </si>
  <si>
    <t>households</t>
  </si>
  <si>
    <t>Estimate; verify</t>
  </si>
  <si>
    <t>$</t>
  </si>
  <si>
    <t>Town Assessor: taxable value after exemptions ($4.8B). Full assessment roll is $5,416,163,767; taxable base is used because the levy applies to taxable value.</t>
  </si>
  <si>
    <t>Town Assessor: median assessed value of a home in the Town.</t>
  </si>
  <si>
    <t>Current General Fund tax levy</t>
  </si>
  <si>
    <t>$/yr</t>
  </si>
  <si>
    <t>2026 Budget A00.4.1001</t>
  </si>
  <si>
    <t>Town tax rate per $1,000</t>
  </si>
  <si>
    <t>Calculated: GF levy / taxable value × 1,000.</t>
  </si>
  <si>
    <t>Existing Buildings — Facts</t>
  </si>
  <si>
    <t>Town Hall square footage</t>
  </si>
  <si>
    <t>sqft</t>
  </si>
  <si>
    <t>Per VIP Building Conditions Assessment (Nov 2024): 7,418 lower + 7,055 floor 01</t>
  </si>
  <si>
    <t>Town Hall employees</t>
  </si>
  <si>
    <t>people</t>
  </si>
  <si>
    <t>Mid of 20-25 per user</t>
  </si>
  <si>
    <t>Asbestos confirmed?</t>
  </si>
  <si>
    <t>Y/N</t>
  </si>
  <si>
    <t>Churchill Environmental 2014-16</t>
  </si>
  <si>
    <t>Town Hall sale value</t>
  </si>
  <si>
    <t>User estimate</t>
  </si>
  <si>
    <t>Police building square footage</t>
  </si>
  <si>
    <t>Per 2023 lease</t>
  </si>
  <si>
    <t>Police employees (current)</t>
  </si>
  <si>
    <t>User-provided</t>
  </si>
  <si>
    <t>Police 20-yr employee growth</t>
  </si>
  <si>
    <t>Estimate</t>
  </si>
  <si>
    <t>Police annual lease (2026)</t>
  </si>
  <si>
    <t>2026 Budget</t>
  </si>
  <si>
    <t>Police lease escalator</t>
  </si>
  <si>
    <t>Termination</t>
  </si>
  <si>
    <t>Auto if VC sold</t>
  </si>
  <si>
    <t>text</t>
  </si>
  <si>
    <t>Per lease clause</t>
  </si>
  <si>
    <t>POLICE SPACE PROGRAM CALCULATOR</t>
  </si>
  <si>
    <t>Industry benchmark — Mid sqft/emp</t>
  </si>
  <si>
    <t>sqft/emp</t>
  </si>
  <si>
    <t>Mid of 350-500 IACP range</t>
  </si>
  <si>
    <t xml:space="preserve">  Future employee count</t>
  </si>
  <si>
    <t xml:space="preserve">  Required police sqft (mid)</t>
  </si>
  <si>
    <t xml:space="preserve">  Current sqft per employee</t>
  </si>
  <si>
    <t>vs. industry 350-500 — significantly undersized</t>
  </si>
  <si>
    <t>Town Hall Operating Costs (annual)</t>
  </si>
  <si>
    <t>Utilities</t>
  </si>
  <si>
    <t>8-yr avg National Grid</t>
  </si>
  <si>
    <t>Buildings-Contractual recurring</t>
  </si>
  <si>
    <t>17-yr normalized avg</t>
  </si>
  <si>
    <t>Cleaning</t>
  </si>
  <si>
    <t>Landscaping</t>
  </si>
  <si>
    <t>Snow removal</t>
  </si>
  <si>
    <t>Water</t>
  </si>
  <si>
    <t>Security</t>
  </si>
  <si>
    <t>Pest control</t>
  </si>
  <si>
    <t>Internet</t>
  </si>
  <si>
    <t>Phone (bldg portion)</t>
  </si>
  <si>
    <t>Buildings personal services</t>
  </si>
  <si>
    <t>Buildings Maintenance Contract (removed)</t>
  </si>
  <si>
    <t>Set to $0: the 2026 budget $125K line was not recurring Town Hall maintenance. Actual recurring building maintenance (~$9-10K/yr, per A00.5.1620.400 history) is already captured in the 'Buildings-Contractual recurring' line above.</t>
  </si>
  <si>
    <t>Subtotal Town Hall operating</t>
  </si>
  <si>
    <t>Police Building Operating Costs (annual)</t>
  </si>
  <si>
    <t>Building maintenance</t>
  </si>
  <si>
    <t>10-yr avg</t>
  </si>
  <si>
    <t>Cleaning supplies</t>
  </si>
  <si>
    <t>Bldg maintenance line</t>
  </si>
  <si>
    <t>Subtotal Police occupancy (lease + maint)</t>
  </si>
  <si>
    <t>FUTURE CAPITAL REPLACEMENT — Town Hall (Scenario A)</t>
  </si>
  <si>
    <t>Boiler replacement (Yr 5)</t>
  </si>
  <si>
    <t>$ today</t>
  </si>
  <si>
    <t>Old boiler with 2018 issues</t>
  </si>
  <si>
    <t>Roof replacement (Yr 8)</t>
  </si>
  <si>
    <t>14K sqft × $30/sqft</t>
  </si>
  <si>
    <t>Electrical service upgrade (Yr 10)</t>
  </si>
  <si>
    <t>Modernize for code</t>
  </si>
  <si>
    <t>HVAC system overhaul (Yr 12)</t>
  </si>
  <si>
    <t>Beyond routine</t>
  </si>
  <si>
    <t>Remaining window/envelope (Yr 15)</t>
  </si>
  <si>
    <t>Areas not covered 2015-16</t>
  </si>
  <si>
    <t>Parking lot resurface (Yr 18)</t>
  </si>
  <si>
    <t>20-yr life</t>
  </si>
  <si>
    <t>Boiler replacement #2 (Yr 22)</t>
  </si>
  <si>
    <t>Second cycle</t>
  </si>
  <si>
    <t>Roof replacement #2 (Yr 28)</t>
  </si>
  <si>
    <t>TROPHY POINT FEASIBILITY — Jul 2025 (Scenario B)</t>
  </si>
  <si>
    <t>New building (50,000 GSF)</t>
  </si>
  <si>
    <t>TP: incl GC, OH, design contingency, escalation</t>
  </si>
  <si>
    <t>Storage buildings</t>
  </si>
  <si>
    <t>Trophy Point</t>
  </si>
  <si>
    <t>Site work</t>
  </si>
  <si>
    <t>FF&amp;E allowance</t>
  </si>
  <si>
    <t>ALT #1: Geothermal</t>
  </si>
  <si>
    <t>TP alternate</t>
  </si>
  <si>
    <t>Include geothermal? (1/0)</t>
  </si>
  <si>
    <t>0/1</t>
  </si>
  <si>
    <t>Toggle</t>
  </si>
  <si>
    <t>Trophy Point building sqft</t>
  </si>
  <si>
    <t>Per TP</t>
  </si>
  <si>
    <t>VIP BUILDING CONDITIONS ASSESSMENT — Nov 2024</t>
  </si>
  <si>
    <t>Renovation cost (low)</t>
  </si>
  <si>
    <t>VIP: existing 14,473 sqft renovation</t>
  </si>
  <si>
    <t>Renovation cost (high)</t>
  </si>
  <si>
    <t>VIP</t>
  </si>
  <si>
    <t>Renovation cost (used)</t>
  </si>
  <si>
    <t>VIP midpoint; used in Scenarios C and D</t>
  </si>
  <si>
    <t>Addition cost (low)</t>
  </si>
  <si>
    <t>VIP: 7,815 sqft addition</t>
  </si>
  <si>
    <t>Addition cost (high)</t>
  </si>
  <si>
    <t>Addition cost (used)</t>
  </si>
  <si>
    <t>VIP midpoint</t>
  </si>
  <si>
    <t>VIP total (renov + addition)</t>
  </si>
  <si>
    <t>Sum of midpoints; includes 10% design + 20% construction contingency</t>
  </si>
  <si>
    <t>Addition sqft</t>
  </si>
  <si>
    <t>Per VIP plans</t>
  </si>
  <si>
    <t>Post-renovation total sqft</t>
  </si>
  <si>
    <t>Existing 14,473 + addition 7,815</t>
  </si>
  <si>
    <t>Asbestos abatement (additional)</t>
  </si>
  <si>
    <t>Not in VIP estimate; typical for confirmed-asbestos building</t>
  </si>
  <si>
    <t>Soft Costs (EXCLUDED by Trophy Point and VIP)</t>
  </si>
  <si>
    <t>A&amp;E / Design fees</t>
  </si>
  <si>
    <t>Typical 6-10%</t>
  </si>
  <si>
    <t>Owner's contingency</t>
  </si>
  <si>
    <t>On top of design contingency</t>
  </si>
  <si>
    <t>Construction Manager/Owner's Rep fees</t>
  </si>
  <si>
    <t>If using CM</t>
  </si>
  <si>
    <t>Bond issuance costs</t>
  </si>
  <si>
    <t>Applied to bond</t>
  </si>
  <si>
    <t>Legal, advisory, permits</t>
  </si>
  <si>
    <t>Lump</t>
  </si>
  <si>
    <t>Asbestos abatement (Scen B site)</t>
  </si>
  <si>
    <t>Site-dependent</t>
  </si>
  <si>
    <t>LAND ACQUISITION</t>
  </si>
  <si>
    <t>Scenario B — Acres needed</t>
  </si>
  <si>
    <t>acres</t>
  </si>
  <si>
    <t>50K sqft + parking + setbacks</t>
  </si>
  <si>
    <t>Scenario C — Acres needed</t>
  </si>
  <si>
    <t>~30K sqft PD/Court + parking</t>
  </si>
  <si>
    <t>Estimated land cost per acre</t>
  </si>
  <si>
    <t>$/acre</t>
  </si>
  <si>
    <t>CNY suburban commercial range</t>
  </si>
  <si>
    <t>Closing costs, survey, Phase I</t>
  </si>
  <si>
    <t>$ lump</t>
  </si>
  <si>
    <t>Legal, title, survey, ESA</t>
  </si>
  <si>
    <t xml:space="preserve">  Scenario B total land cost</t>
  </si>
  <si>
    <t xml:space="preserve">  Scenario C total land cost</t>
  </si>
  <si>
    <t>Scenario C — New PD/Court Sizing</t>
  </si>
  <si>
    <t>Police sqft (from calculator)</t>
  </si>
  <si>
    <t>Court sqft</t>
  </si>
  <si>
    <t>Refine with Justice</t>
  </si>
  <si>
    <t>Common/mechanical multiplier</t>
  </si>
  <si>
    <t>Lobby/corridors/mech</t>
  </si>
  <si>
    <t xml:space="preserve">  Total PD+Court sqft</t>
  </si>
  <si>
    <t>Effective $/sqft for C</t>
  </si>
  <si>
    <t>$/sqft</t>
  </si>
  <si>
    <t>TP avg + 10% standalone premium</t>
  </si>
  <si>
    <t>Site work — C (new PD/Court)</t>
  </si>
  <si>
    <t>70% of TP site</t>
  </si>
  <si>
    <t>SCENARIO D &amp; E — Purchase Building for PD/Court</t>
  </si>
  <si>
    <t>Building purchase price</t>
  </si>
  <si>
    <t>User estimate; needs site identification</t>
  </si>
  <si>
    <t>Building sqft (purchased)</t>
  </si>
  <si>
    <t>Assumed; refine after target identified</t>
  </si>
  <si>
    <t>Conversion to police use $/sqft</t>
  </si>
  <si>
    <t>Holding cells, sallyport, evidence, HVAC, electrical, ADA — high uncertainty</t>
  </si>
  <si>
    <t>Site work / parking upgrades</t>
  </si>
  <si>
    <t>Sallyport pad, parking expansion, security fencing</t>
  </si>
  <si>
    <t>FF&amp;E for converted building</t>
  </si>
  <si>
    <t>Lower than new build but still substantial</t>
  </si>
  <si>
    <t xml:space="preserve">  Total purchased PD/Court cost (D &amp; E)</t>
  </si>
  <si>
    <t>Cost of Inaction — Capital</t>
  </si>
  <si>
    <t>Records room water/envelope</t>
  </si>
  <si>
    <t>Mid $25-150K</t>
  </si>
  <si>
    <t>Electrical/heater hazard</t>
  </si>
  <si>
    <t>IMMEDIATE</t>
  </si>
  <si>
    <t>Elevator (ADA)</t>
  </si>
  <si>
    <t>Mid $300-600K</t>
  </si>
  <si>
    <t>ADA doorknobs</t>
  </si>
  <si>
    <t>Mid $5-15K</t>
  </si>
  <si>
    <t>Building security</t>
  </si>
  <si>
    <t>Mid $15-50K</t>
  </si>
  <si>
    <t>Staff restroom access</t>
  </si>
  <si>
    <t>Mid $25-100K</t>
  </si>
  <si>
    <t>Police building compliance</t>
  </si>
  <si>
    <t>Reduced; Village (landlord) responsible for most building compliance per lease — limited to tenant fit-out and PESH items</t>
  </si>
  <si>
    <t>Asbestos overhead premium</t>
  </si>
  <si>
    <t>On disturbance work</t>
  </si>
  <si>
    <t>Cost of Inaction — Annual Risk</t>
  </si>
  <si>
    <t>Security/workplace violence</t>
  </si>
  <si>
    <t>Actuarial benchmark; refine w/ broker</t>
  </si>
  <si>
    <t>Restroom Public Employee Safety and Health Bureau</t>
  </si>
  <si>
    <t>Mid $10-50K</t>
  </si>
  <si>
    <t>Cash transport courier</t>
  </si>
  <si>
    <t>Mid $5-25K</t>
  </si>
  <si>
    <t>Records loss/mold</t>
  </si>
  <si>
    <t>Insurance premium pressure</t>
  </si>
  <si>
    <t>Refine w/ broker</t>
  </si>
  <si>
    <t>Other Inputs</t>
  </si>
  <si>
    <t>Two-building overhead (C/D)</t>
  </si>
  <si>
    <t>Janitorial/HVAC/IT/grounds</t>
  </si>
  <si>
    <t>Rec revenue (C/D)</t>
  </si>
  <si>
    <t>Modest user estimate</t>
  </si>
  <si>
    <t>DASNY/NYSERDA/DCJS placeholder</t>
  </si>
  <si>
    <t>Construction period — B (Full Rebuild)</t>
  </si>
  <si>
    <t>Per Trophy Point</t>
  </si>
  <si>
    <t>Construction period — C PD/Court</t>
  </si>
  <si>
    <t>Per Trophy Point (2-yr build)</t>
  </si>
  <si>
    <t>Renovation period — TH (C and D)</t>
  </si>
  <si>
    <t>After PD/Court done</t>
  </si>
  <si>
    <t>Conversion period — D and E</t>
  </si>
  <si>
    <t>Existing building conversion</t>
  </si>
  <si>
    <t>New building $/sqft/yr</t>
  </si>
  <si>
    <t>$/sqft/yr</t>
  </si>
  <si>
    <t>Modern muni $9-13</t>
  </si>
  <si>
    <t>Renovated TH cost factor</t>
  </si>
  <si>
    <t>85% of pre-reno (efficiency)</t>
  </si>
  <si>
    <t>Converted building $/sqft/yr</t>
  </si>
  <si>
    <t>Slightly lower than new-build benchmark</t>
  </si>
  <si>
    <t>SCENARIO 0 — DEFERRED BUILD MODELING</t>
  </si>
  <si>
    <t>Include deferred build? (1/0)</t>
  </si>
  <si>
    <t>Recognizes S0 isn't a 30-yr solution</t>
  </si>
  <si>
    <t>Year of deferred build</t>
  </si>
  <si>
    <t>Last year of analysis</t>
  </si>
  <si>
    <t>Deferred build cost (today's $)</t>
  </si>
  <si>
    <t>Linked to Scenario B; edit to override</t>
  </si>
  <si>
    <t>SCENARIO E — DEFERRED TOWN HALL BUILD</t>
  </si>
  <si>
    <t>Include deferred TH build? (1/0)</t>
  </si>
  <si>
    <t>Year of deferred TH build</t>
  </si>
  <si>
    <t>Deferred TH build cost (today's $)</t>
  </si>
  <si>
    <t>Monetized Benefits — Tier 1 + Tier 2</t>
  </si>
  <si>
    <t>Annual benefit by category and scenario.</t>
  </si>
  <si>
    <t>Benefits flow into Scenarios B, C, and D as negative cash outflow.</t>
  </si>
  <si>
    <t>Benefit Category</t>
  </si>
  <si>
    <t>Annual Value</t>
  </si>
  <si>
    <t>Tier</t>
  </si>
  <si>
    <t>Scen B</t>
  </si>
  <si>
    <t>Scen C</t>
  </si>
  <si>
    <t>Scen D</t>
  </si>
  <si>
    <t>Scen E</t>
  </si>
  <si>
    <t>Start Yr Offset</t>
  </si>
  <si>
    <t>Inflation</t>
  </si>
  <si>
    <t>Methodology</t>
  </si>
  <si>
    <t>Source / Basis</t>
  </si>
  <si>
    <t>TIER 1 — High-confidence quantification</t>
  </si>
  <si>
    <t>Y</t>
  </si>
  <si>
    <t>N</t>
  </si>
  <si>
    <t>general</t>
  </si>
  <si>
    <t>Sum of cost-of-inaction recurring (security + restroom + cash + records + insurance)</t>
  </si>
  <si>
    <t>Risk items built from Town walkthrough + NYS PESH (dol.ny.gov) and insurance exposure; refine with Town broker.</t>
  </si>
  <si>
    <t>~12% of $542K Unallocated Insurance line</t>
  </si>
  <si>
    <t>Property/liability insurance literature; Town's insurance line ($542K). Confirm % with Town broker.</t>
  </si>
  <si>
    <t>Only Scenario B sells TH; C and D keep it (renovate)</t>
  </si>
  <si>
    <t>Town Assessor: returning sold Town Hall to the taxable roll (Scenario B only).</t>
  </si>
  <si>
    <t>operating</t>
  </si>
  <si>
    <t>Eliminated prisoner transport, shared sallyport</t>
  </si>
  <si>
    <t>IACP Police Facilities Planning Guidelines (theiacp.org) — shared sallyport/transport efficiency.</t>
  </si>
  <si>
    <t>TIER 2 — Defensible with methodology</t>
  </si>
  <si>
    <t>0.5 FTE equivalent across departments</t>
  </si>
  <si>
    <t>U.S. EPA Office Building Occupant's Guide to IAQ; Harvard T.H. Chan School of Public Health (productivity/cognition); LBNL ventilation/absenteeism studies.</t>
  </si>
  <si>
    <t>Avoid 1 police separation every ~3 yrs</t>
  </si>
  <si>
    <t>U.S. DOJ Office of Justice Programs, 'Calculating the Cost of Police Turnover' (ojp.gov); Orrick (2008): replacing an officer costs ~1–5x annual salary.</t>
  </si>
  <si>
    <t>IAQ, mold, ergonomics</t>
  </si>
  <si>
    <t>U.S. EPA indoor air quality cost estimates; Harvard T.H. Chan healthy-buildings research (absenteeism, health).</t>
  </si>
  <si>
    <t>Only Scenario B is single building; C and D operate two</t>
  </si>
  <si>
    <t>Facilities-management practice: one building vs. two (shared HVAC, roof, systems). Town estimate.</t>
  </si>
  <si>
    <t>Annual benefit (today's $)</t>
  </si>
  <si>
    <t>ONE-TIME BENEFITS (capital avoidance)</t>
  </si>
  <si>
    <t>Avoided major capital TH (B)</t>
  </si>
  <si>
    <t>Avoided major capital TH (C and D)</t>
  </si>
  <si>
    <t>Renovation addresses some, not all</t>
  </si>
  <si>
    <t>ANNUAL BENEFIT CASH FLOWS</t>
  </si>
  <si>
    <t>Year</t>
  </si>
  <si>
    <t>Scen B: Annual benefit (Yr 3+)</t>
  </si>
  <si>
    <t>Scen B: Avoided capital (spread Yr 3-30)</t>
  </si>
  <si>
    <t>Scen B: TOTAL ANNUAL BENEFIT</t>
  </si>
  <si>
    <t>Scen C: Annual benefit (Yr 4+)</t>
  </si>
  <si>
    <t>Scen C: Avoided capital (spread Yr 4-30)</t>
  </si>
  <si>
    <t>Scen C: TOTAL ANNUAL BENEFIT</t>
  </si>
  <si>
    <t>Scen D: Annual benefit (Yr 3+)</t>
  </si>
  <si>
    <t>Scen D: Avoided capital (spread Yr 3-30)</t>
  </si>
  <si>
    <t>Scen D: TOTAL ANNUAL BENEFIT</t>
  </si>
  <si>
    <t>Scen E: Annual benefit (Yr 2+)</t>
  </si>
  <si>
    <t>Scen E: (no avoided TH capital — TH not renovated)</t>
  </si>
  <si>
    <t>Scen E: TOTAL ANNUAL BENEFIT</t>
  </si>
  <si>
    <t>Glossary</t>
  </si>
  <si>
    <t>Plain-language definitions of the terms, methods, and line items used throughout this analysis.</t>
  </si>
  <si>
    <t>Financial methods</t>
  </si>
  <si>
    <t>Cost-Benefit Analysis (CBA)</t>
  </si>
  <si>
    <t>A structured comparison of the full costs and benefits of each option over time, expressed in dollars, so options can be compared on a consistent basis.</t>
  </si>
  <si>
    <t>Net Present Value (NPV) / Present Value (PV)</t>
  </si>
  <si>
    <t>Future dollars converted to today's dollars. Because a dollar spent years from now is worth less than a dollar today, future costs are 'discounted' back to the present. PV lets options that spend money in different years be compared fairly.</t>
  </si>
  <si>
    <t>Discount rate</t>
  </si>
  <si>
    <t>The yearly rate used to convert future dollars to today's dollars. This analysis uses 4%, close to the Town's cost of borrowing. A higher rate makes future costs look smaller; a lower rate makes them look larger.</t>
  </si>
  <si>
    <t>Gross Cost (PV)</t>
  </si>
  <si>
    <t>The present value of an option's total costs over 30 years, before subtracting any benefits. Shown as a negative number because it is a cost.</t>
  </si>
  <si>
    <t>Net PV</t>
  </si>
  <si>
    <t>Gross Cost minus the monetized benefits, in present value. The bottom-line cost of an option after accounting for the value it returns. Shown as a negative number.</t>
  </si>
  <si>
    <t>Nominal vs. real (today's) dollars</t>
  </si>
  <si>
    <t>Nominal dollars are the actual amounts paid in a future year, including inflation. Real or 'today's' dollars strip inflation out so amounts in different years are comparable.</t>
  </si>
  <si>
    <t>Inflation rate</t>
  </si>
  <si>
    <t>The yearly rate at which prices rise. This analysis grows general costs at 2.5% and construction costs at 4%, because construction has risen faster than general prices.</t>
  </si>
  <si>
    <t>Sensitivity / toggle</t>
  </si>
  <si>
    <t>A switch in the model that lets a key assumption be turned on or off (for example, the deferred build), so the effect on the result can be tested.</t>
  </si>
  <si>
    <t>Financing and taxes</t>
  </si>
  <si>
    <t>A loan a local government takes out to pay for a large project, repaid with interest over many years (here, 30 years at an assumed 4.5%).</t>
  </si>
  <si>
    <t>Debt service</t>
  </si>
  <si>
    <t>The yearly payment of principal and interest on a bond.</t>
  </si>
  <si>
    <t>Amount bonded</t>
  </si>
  <si>
    <t>The portion of a project's cost that is financed by issuing a bond, including bond issuance costs.</t>
  </si>
  <si>
    <t>General Fund tax levy</t>
  </si>
  <si>
    <t>The total amount of property tax the Town raises each year for its General Fund. The 2026 figure is about $13.33 million.</t>
  </si>
  <si>
    <t>Taxable value</t>
  </si>
  <si>
    <t>The total assessed value of property in the Town that can be taxed, after exemptions. About $4.8 billion per the Town Assessor. Used to translate a project's cost into a tax rate.</t>
  </si>
  <si>
    <t>The assessed value of a typical home in the Town, about $332,100. Used to estimate the tax impact on a typical homeowner.</t>
  </si>
  <si>
    <t>Property tax cap</t>
  </si>
  <si>
    <t>A New York limit on how much a local government can raise its tax levy each year, generally 2% or inflation, whichever is less, with limited exclusions and a board override option.</t>
  </si>
  <si>
    <t>If financed using debt finance</t>
  </si>
  <si>
    <t>A label on the per-resident and tax-impact figures meaning those amounts apply only if the option is paid for by borrowing. Options paid from reserves or grants would differ.</t>
  </si>
  <si>
    <t>Buildings and program</t>
  </si>
  <si>
    <t>Square feet per employee (sf/employee)</t>
  </si>
  <si>
    <t>A planning measure of how much building space each staff member has. The Police Department today has about 205 sf/employee; common planning guidance is 350 to 500.</t>
  </si>
  <si>
    <t>Space program</t>
  </si>
  <si>
    <t>The list of rooms and areas a building needs and their sizes, used to estimate how large a building must be.</t>
  </si>
  <si>
    <t>Renovation vs. addition</t>
  </si>
  <si>
    <t>Renovation improves existing space. An addition adds new square footage. The VIP study found the Town Hall needs both, because the current footprint cannot fit everything plus an elevator.</t>
  </si>
  <si>
    <t>Soft costs</t>
  </si>
  <si>
    <t>Project costs beyond construction itself: design fees, owner's contingency, construction-management and owner's-representative fees, bond issuance, and legal costs.</t>
  </si>
  <si>
    <t>Construction Manager / Owner's Representative</t>
  </si>
  <si>
    <t>Professionals hired to manage construction on the Town's behalf and protect the Town's interests on budget, schedule, and quality. Budgeted here at about 3% of construction.</t>
  </si>
  <si>
    <t>FF&amp;E</t>
  </si>
  <si>
    <t>Furniture, Fixtures, and Equipment: the movable items needed to make a building usable (desks, workstations, equipment).</t>
  </si>
  <si>
    <t>Sallyport</t>
  </si>
  <si>
    <t>An enclosed, secure vehicle bay where police can transfer people in custody safely, out of public view.</t>
  </si>
  <si>
    <t>Booking</t>
  </si>
  <si>
    <t>The intake and processing area in a police facility where arrests are recorded.</t>
  </si>
  <si>
    <t>Facility Condition Assessment (FCA)</t>
  </si>
  <si>
    <t>An engineering study of a building's systems and their remaining life, used to replace estimated repair costs with engineered figures.</t>
  </si>
  <si>
    <t>Compliance and risk</t>
  </si>
  <si>
    <t>ADA (Americans with Disabilities Act)</t>
  </si>
  <si>
    <t>Federal civil-rights law requiring public buildings to be accessible. Multi-story government buildings generally must provide an accessible route between floors, such as an elevator.</t>
  </si>
  <si>
    <t>PESH (Public Employee Safety and Health)</t>
  </si>
  <si>
    <t>New York's workplace-safety program for public employers. Requires a workplace free of recognized hazards and allows fines for failing to fix serious violations.</t>
  </si>
  <si>
    <t>Cost of inaction</t>
  </si>
  <si>
    <t>Costs the Town would carry even if it builds nothing, through legal liability, regulatory exposure, lost staff time, and higher insurance. Counted on a risk-weighted basis.</t>
  </si>
  <si>
    <t>Risk-weighted / expected-value estimate</t>
  </si>
  <si>
    <t>A reasonable yearly figure for a risk that may or may not occur in a given year, found by weighing the cost of the event by its likelihood.</t>
  </si>
  <si>
    <t>Deferred build</t>
  </si>
  <si>
    <t>The assumption in the Do-Minimum option that the Town would still have to build new facilities at the end of 30 years, since doing the minimum delays but does not remove the need.</t>
  </si>
  <si>
    <t>The controlled removal of asbestos-containing materials before or during construction. Required when older buildings are disturbed; estimated separately because the VIP study excluded it.</t>
  </si>
  <si>
    <t>The scenarios</t>
  </si>
  <si>
    <t>Fix urgent problems, keep renting the police building, keep the existing Town Hall. Includes future repairs and an eventual deferred build.</t>
  </si>
  <si>
    <t>One new combined building for Town Hall, Police, and Court. Sell the old Town Hall and end the police lease.</t>
  </si>
  <si>
    <t>Build a new Police/Court building and renovate and expand the existing Town Hall.</t>
  </si>
  <si>
    <t>Buy and convert an existing building for Police and Court, and renovate and expand the Town Hall.</t>
  </si>
  <si>
    <t>Buy and convert a building for Police and Court (like D), but give the Town Hall only base repairs (like A) rather than a full renovation.</t>
  </si>
  <si>
    <t>Scenario A: Do Minimum</t>
  </si>
  <si>
    <t>Remediate to compliance. Continue police lease. Future capital + deferred build at Yr 30.</t>
  </si>
  <si>
    <t>SUMMARY METRICS</t>
  </si>
  <si>
    <t>Net PV (after benefits)</t>
  </si>
  <si>
    <t>Year 1 Cost</t>
  </si>
  <si>
    <t>Amount Bonded</t>
  </si>
  <si>
    <t>Annual Debt Service</t>
  </si>
  <si>
    <t>Line Item</t>
  </si>
  <si>
    <t>Source</t>
  </si>
  <si>
    <t>ONE-TIME REMEDIATION (Year 1)</t>
  </si>
  <si>
    <t>Records room water/envelope/mold</t>
  </si>
  <si>
    <t>Parameters</t>
  </si>
  <si>
    <t>Electrical/heater hazard fix</t>
  </si>
  <si>
    <t>Building security/access control</t>
  </si>
  <si>
    <t>Staff restroom access fix</t>
  </si>
  <si>
    <t xml:space="preserve">  Asbestos abatement premium</t>
  </si>
  <si>
    <t>ADA doorknob retrofit</t>
  </si>
  <si>
    <t>Elevator retrofit</t>
  </si>
  <si>
    <t>Police compliance (limited; mostly Village)</t>
  </si>
  <si>
    <t>Total one-time remediation</t>
  </si>
  <si>
    <t>FUTURE CAPITAL REPLACEMENT</t>
  </si>
  <si>
    <t>Subtotal future capital</t>
  </si>
  <si>
    <t>DEFERRED BUILD</t>
  </si>
  <si>
    <t>Deferred building obligation (Yr 30)</t>
  </si>
  <si>
    <t>ONGOING OPERATING</t>
  </si>
  <si>
    <t>Town Hall operating (inflated)</t>
  </si>
  <si>
    <t>Police occupancy</t>
  </si>
  <si>
    <t>Subtotal operating</t>
  </si>
  <si>
    <t>RISK-WEIGHTED EXPOSURE</t>
  </si>
  <si>
    <t>Restroom PESH</t>
  </si>
  <si>
    <t>Cash transport</t>
  </si>
  <si>
    <t>Insurance pressure</t>
  </si>
  <si>
    <t>Subtotal risk</t>
  </si>
  <si>
    <t>TOTAL ANNUAL NET COST</t>
  </si>
  <si>
    <t>Scenario B: Full Rebuild (Trophy Point + Land)</t>
  </si>
  <si>
    <t>Build 50K sqft combined facility. Acquire 7 acres. Sell TH. Terminate police lease.</t>
  </si>
  <si>
    <t>Project Cost</t>
  </si>
  <si>
    <t>PROJECT COST BUILD-UP</t>
  </si>
  <si>
    <t>Land acquisition</t>
  </si>
  <si>
    <t>Trophy Point new building</t>
  </si>
  <si>
    <t>Trophy Point storage</t>
  </si>
  <si>
    <t>Trophy Point site work</t>
  </si>
  <si>
    <t>Trophy Point FF&amp;E allowance</t>
  </si>
  <si>
    <t>Geothermal alternate (if selected)</t>
  </si>
  <si>
    <t>Subtotal hard + land</t>
  </si>
  <si>
    <t>CM/Owner's Rep</t>
  </si>
  <si>
    <t>Asbestos (site)</t>
  </si>
  <si>
    <t>Subtotal pre-bond</t>
  </si>
  <si>
    <t>Less: grants</t>
  </si>
  <si>
    <t>Bond issuance</t>
  </si>
  <si>
    <t>Bonded amount</t>
  </si>
  <si>
    <t>ANNUAL CASH FLOW</t>
  </si>
  <si>
    <t>Existing buildings (during construction)</t>
  </si>
  <si>
    <t>New building operating</t>
  </si>
  <si>
    <t>Less: TH sale (Yr 3)</t>
  </si>
  <si>
    <t>Immediate Yr 1 fixes</t>
  </si>
  <si>
    <t>GROSS ANNUAL COST</t>
  </si>
  <si>
    <t>Less: benefits</t>
  </si>
  <si>
    <t>NET ANNUAL COST</t>
  </si>
  <si>
    <t>Scenario C: New PD/Court + VIP Renovation+Addition for TH</t>
  </si>
  <si>
    <t>Build new PD/Court (~31K sqft). Renovate + add 7,815 sqft to TH per VIP study ($9-12M).</t>
  </si>
  <si>
    <t>NEW POLICE + COURT BUILDING</t>
  </si>
  <si>
    <t>PD+Court hard construction</t>
  </si>
  <si>
    <t>Subtotal new build</t>
  </si>
  <si>
    <t>TOWN HALL RENOVATION + ADDITION (per VIP study)</t>
  </si>
  <si>
    <t>VIP renovation cost</t>
  </si>
  <si>
    <t>VIP addition cost (7,815 sqft)</t>
  </si>
  <si>
    <t>Asbestos abatement (VIP excludes)</t>
  </si>
  <si>
    <t>VIP subtotal (incl. VIP's design+const contingency)</t>
  </si>
  <si>
    <t>A&amp;E/owner's contingency on top of VIP</t>
  </si>
  <si>
    <t>Total TH reno+addition</t>
  </si>
  <si>
    <t>Soft costs on new build (excl. land)</t>
  </si>
  <si>
    <t>COMBINED PROJECT COST</t>
  </si>
  <si>
    <t>TH operating (old, Yrs 1-3)</t>
  </si>
  <si>
    <t>Renovated TH operating (Yr 4+, larger building)</t>
  </si>
  <si>
    <t>Old police operating (Yrs 1-2)</t>
  </si>
  <si>
    <t>New PD+Court operating (Yr 3+)</t>
  </si>
  <si>
    <t>Two-building overhead (Yr 3+)</t>
  </si>
  <si>
    <t>Less: Rec luncheon revenue</t>
  </si>
  <si>
    <t>Scenario D: Purchase PD/Court Building + Renovate+Add TH</t>
  </si>
  <si>
    <t>Purchase existing ~25K sqft building ($1M placeholder) and convert for PD+Court. Renovate+add TH per VIP. Operate two buildings.</t>
  </si>
  <si>
    <t>PURCHASE + CONVERT BUILDING</t>
  </si>
  <si>
    <t>Conversion to police use</t>
  </si>
  <si>
    <t>Holding cells, sallyport, evidence, HVAC, ADA — HIGH UNCERTAINTY</t>
  </si>
  <si>
    <t>Site work / parking / sallyport</t>
  </si>
  <si>
    <t>Subtotal purchase + convert</t>
  </si>
  <si>
    <t>VIP addition cost</t>
  </si>
  <si>
    <t>VIP subtotal</t>
  </si>
  <si>
    <t>A&amp;E/owner's contingency on VIP</t>
  </si>
  <si>
    <t>Soft costs on purchase/convert (excl. purchase)</t>
  </si>
  <si>
    <t>TH operating (old, Yrs 1-2)</t>
  </si>
  <si>
    <t>Renovated TH operating (Yr 3+)</t>
  </si>
  <si>
    <t>Old police (Yr 1)</t>
  </si>
  <si>
    <t>Converted building operating (Yr 2+)</t>
  </si>
  <si>
    <t>Two-building overhead (Yr 2+)</t>
  </si>
  <si>
    <t>Scenario E: Purchase PD/Court Building + Do-Minimum Town Hall</t>
  </si>
  <si>
    <t>Purchase &amp; convert a ~25K sqft building for Police/Court (like Scenario D), but the Town Hall receives only base remediation and the ongoing capital-replacement schedule (like Scenario A) — no full VIP renovation/addition.</t>
  </si>
  <si>
    <t>TOWN HALL — BASE REMEDIATION (one-time, Year 1)</t>
  </si>
  <si>
    <t>Subtotal TH base remediation (incl. asbestos premium)</t>
  </si>
  <si>
    <t>Deferred Town Hall build (Yr 30)</t>
  </si>
  <si>
    <t>TH operating (do-minimum, all years)</t>
  </si>
  <si>
    <t>Old police lease (Yr 1)</t>
  </si>
  <si>
    <t>TH base remediation (one-time, Yr 1)</t>
  </si>
  <si>
    <t>Future capital replacement (TH)</t>
  </si>
  <si>
    <t>Risk-weighted exposure (continues)</t>
  </si>
  <si>
    <t>Set to zero for constant dollar analysis</t>
  </si>
  <si>
    <t>Diffrence from gen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</si>
</sst>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quot;#,##0\);\-"/>
    <numFmt numFmtId="165" formatCode="\$#,##0.00;&quot;($&quot;#,##0.00\);\-"/>
    <numFmt numFmtId="166" formatCode="\$#,##0"/>
    <numFmt numFmtId="167" formatCode="0.0%"/>
    <numFmt numFmtId="168" formatCode="\$#,##0.00"/>
    <numFmt numFmtId="169" formatCode="0.0"/>
    <numFmt numFmtId="170" formatCode="&quot;($&quot;#,##0\)"/>
  </numFmts>
  <fonts count="35" x14ac:knownFonts="1">
    <font>
      <sz val="11"/>
      <color theme="1"/>
      <name val="Calibri"/>
      <family val="2"/>
      <charset val="1"/>
    </font>
    <font>
      <b/>
      <sz val="18"/>
      <color rgb="FF35403A"/>
      <name val="Arial"/>
      <family val="2"/>
      <charset val="1"/>
    </font>
    <font>
      <sz val="12"/>
      <color rgb="FF35403A"/>
      <name val="Arial"/>
      <family val="2"/>
      <charset val="1"/>
    </font>
    <font>
      <b/>
      <sz val="10"/>
      <color rgb="FF333333"/>
      <name val="Arial"/>
      <family val="2"/>
      <charset val="1"/>
    </font>
    <font>
      <i/>
      <sz val="10"/>
      <color rgb="FFC77138"/>
      <name val="Arial"/>
      <family val="2"/>
      <charset val="1"/>
    </font>
    <font>
      <b/>
      <sz val="12"/>
      <color rgb="FFFFFFFF"/>
      <name val="Arial"/>
      <family val="2"/>
      <charset val="1"/>
    </font>
    <font>
      <sz val="10"/>
      <color rgb="FF333333"/>
      <name val="Arial"/>
      <family val="2"/>
      <charset val="1"/>
    </font>
    <font>
      <b/>
      <sz val="11"/>
      <color rgb="FF9E8B50"/>
      <name val="Arial"/>
      <family val="2"/>
      <charset val="1"/>
    </font>
    <font>
      <b/>
      <sz val="14"/>
      <name val="Arial"/>
      <family val="2"/>
      <charset val="1"/>
    </font>
    <font>
      <i/>
      <sz val="10"/>
      <color rgb="FF666666"/>
      <name val="Arial"/>
      <family val="2"/>
      <charset val="1"/>
    </font>
    <font>
      <b/>
      <sz val="11"/>
      <color rgb="FFFFFFFF"/>
      <name val="Arial"/>
      <family val="2"/>
      <charset val="1"/>
    </font>
    <font>
      <i/>
      <sz val="10"/>
      <name val="Arial"/>
      <family val="2"/>
      <charset val="1"/>
    </font>
    <font>
      <i/>
      <sz val="9"/>
      <color rgb="FF666666"/>
      <name val="Arial"/>
      <family val="2"/>
      <charset val="1"/>
    </font>
    <font>
      <b/>
      <sz val="11"/>
      <name val="Arial"/>
      <family val="2"/>
      <charset val="1"/>
    </font>
    <font>
      <sz val="10"/>
      <name val="Arial"/>
      <family val="2"/>
      <charset val="1"/>
    </font>
    <font>
      <sz val="10"/>
      <color rgb="FF008000"/>
      <name val="Arial"/>
      <family val="2"/>
      <charset val="1"/>
    </font>
    <font>
      <sz val="10"/>
      <color rgb="FF0000FF"/>
      <name val="Arial"/>
      <family val="2"/>
      <charset val="1"/>
    </font>
    <font>
      <b/>
      <sz val="10"/>
      <name val="Arial"/>
      <family val="2"/>
      <charset val="1"/>
    </font>
    <font>
      <sz val="10"/>
      <color rgb="FF000000"/>
      <name val="Arial"/>
      <family val="2"/>
      <charset val="1"/>
    </font>
    <font>
      <b/>
      <sz val="15"/>
      <color rgb="FF35403A"/>
      <name val="Arial"/>
      <family val="2"/>
      <charset val="1"/>
    </font>
    <font>
      <i/>
      <sz val="9"/>
      <color rgb="FF888888"/>
      <name val="Arial"/>
      <family val="2"/>
      <charset val="1"/>
    </font>
    <font>
      <b/>
      <sz val="11"/>
      <color rgb="FF35403A"/>
      <name val="Arial"/>
      <family val="2"/>
      <charset val="1"/>
    </font>
    <font>
      <sz val="9"/>
      <color rgb="FF555555"/>
      <name val="Arial"/>
      <family val="2"/>
      <charset val="1"/>
    </font>
    <font>
      <sz val="11"/>
      <color rgb="FF333333"/>
      <name val="Arial"/>
      <family val="2"/>
      <charset val="1"/>
    </font>
    <font>
      <b/>
      <sz val="11"/>
      <color rgb="FF9C5700"/>
      <name val="Arial"/>
      <family val="2"/>
      <charset val="1"/>
    </font>
    <font>
      <sz val="11"/>
      <color rgb="FF9C5700"/>
      <name val="Arial"/>
      <family val="2"/>
      <charset val="1"/>
    </font>
    <font>
      <sz val="10"/>
      <color rgb="FF444444"/>
      <name val="Arial"/>
      <family val="2"/>
      <charset val="1"/>
    </font>
    <font>
      <i/>
      <sz val="10"/>
      <color rgb="FF0000FF"/>
      <name val="Arial"/>
      <family val="2"/>
      <charset val="1"/>
    </font>
    <font>
      <i/>
      <sz val="10"/>
      <color rgb="FF7030A0"/>
      <name val="Arial"/>
      <family val="2"/>
      <charset val="1"/>
    </font>
    <font>
      <sz val="9"/>
      <color rgb="FF666666"/>
      <name val="Arial"/>
      <family val="2"/>
      <charset val="1"/>
    </font>
    <font>
      <b/>
      <sz val="10"/>
      <color rgb="FF006100"/>
      <name val="Arial"/>
      <family val="2"/>
      <charset val="1"/>
    </font>
    <font>
      <b/>
      <sz val="10"/>
      <color rgb="FF1F4E79"/>
      <name val="Arial"/>
      <family val="2"/>
      <charset val="1"/>
    </font>
    <font>
      <b/>
      <sz val="12"/>
      <color rgb="FFC0392B"/>
      <name val="Arial"/>
      <family val="2"/>
      <charset val="1"/>
    </font>
    <font>
      <b/>
      <sz val="12"/>
      <color rgb="FF1F4E79"/>
      <name val="Arial"/>
      <family val="2"/>
      <charset val="1"/>
    </font>
    <font>
      <sz val="11"/>
      <color rgb="FFFF0000"/>
      <name val="Calibri"/>
      <family val="2"/>
      <charset val="1"/>
    </font>
  </fonts>
  <fills count="13">
    <fill>
      <patternFill patternType="none"/>
    </fill>
    <fill>
      <patternFill patternType="gray125"/>
    </fill>
    <fill>
      <patternFill patternType="solid">
        <fgColor rgb="FF35403A"/>
        <bgColor rgb="FF444444"/>
      </patternFill>
    </fill>
    <fill>
      <patternFill patternType="solid">
        <fgColor rgb="FF305496"/>
        <bgColor rgb="FF1F4E79"/>
      </patternFill>
    </fill>
    <fill>
      <patternFill patternType="solid">
        <fgColor rgb="FFD9E1F2"/>
        <bgColor rgb="FFD9E5F1"/>
      </patternFill>
    </fill>
    <fill>
      <patternFill patternType="solid">
        <fgColor rgb="FFC6EFCE"/>
        <bgColor rgb="FFE2EFDA"/>
      </patternFill>
    </fill>
    <fill>
      <patternFill patternType="solid">
        <fgColor rgb="FFFFE699"/>
        <bgColor rgb="FFFFF2CC"/>
      </patternFill>
    </fill>
    <fill>
      <patternFill patternType="solid">
        <fgColor rgb="FFE2EFDA"/>
        <bgColor rgb="FFE0E0E0"/>
      </patternFill>
    </fill>
    <fill>
      <patternFill patternType="solid">
        <fgColor rgb="FFFFF2CC"/>
        <bgColor rgb="FFE2EFDA"/>
      </patternFill>
    </fill>
    <fill>
      <patternFill patternType="solid">
        <fgColor theme="0"/>
        <bgColor rgb="FFFFF2CC"/>
      </patternFill>
    </fill>
    <fill>
      <patternFill patternType="solid">
        <fgColor rgb="FFD9E5F1"/>
        <bgColor rgb="FFD9E1F2"/>
      </patternFill>
    </fill>
    <fill>
      <patternFill patternType="solid">
        <fgColor rgb="FFEDE0F4"/>
        <bgColor rgb="FFE0E0E0"/>
      </patternFill>
    </fill>
    <fill>
      <patternFill patternType="solid">
        <fgColor rgb="FFFFD7D7"/>
        <bgColor rgb="FFEDE0F4"/>
      </patternFill>
    </fill>
  </fills>
  <borders count="4">
    <border>
      <left/>
      <right/>
      <top/>
      <bottom/>
      <diagonal/>
    </border>
    <border>
      <left style="thin">
        <color rgb="FF999999"/>
      </left>
      <right style="thin">
        <color rgb="FF999999"/>
      </right>
      <top style="thin">
        <color rgb="FF999999"/>
      </top>
      <bottom style="thin">
        <color rgb="FF999999"/>
      </bottom>
      <diagonal/>
    </border>
    <border>
      <left style="thin">
        <color rgb="FFCCCCCC"/>
      </left>
      <right style="thin">
        <color rgb="FFCCCCCC"/>
      </right>
      <top style="thin">
        <color rgb="FFCCCCCC"/>
      </top>
      <bottom style="thin">
        <color rgb="FFCCCCCC"/>
      </bottom>
      <diagonal/>
    </border>
    <border>
      <left/>
      <right/>
      <top/>
      <bottom style="thin">
        <color rgb="FFE0E0E0"/>
      </bottom>
      <diagonal/>
    </border>
  </borders>
  <cellStyleXfs count="1">
    <xf numFmtId="0" fontId="0" fillId="0" borderId="0"/>
  </cellStyleXfs>
  <cellXfs count="106">
    <xf numFmtId="0" fontId="0" fillId="0" borderId="0" xfId="0"/>
    <xf numFmtId="0" fontId="9" fillId="0" borderId="0" xfId="0" applyFont="1"/>
    <xf numFmtId="0" fontId="22" fillId="0" borderId="0" xfId="0" applyFont="1" applyAlignment="1">
      <alignment wrapText="1"/>
    </xf>
    <xf numFmtId="0" fontId="9" fillId="0" borderId="0" xfId="0" applyFont="1" applyAlignment="1">
      <alignment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2" borderId="0" xfId="0"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9" fillId="0" borderId="0" xfId="0" applyFont="1"/>
    <xf numFmtId="0" fontId="10" fillId="3" borderId="1" xfId="0" applyFont="1" applyFill="1" applyBorder="1" applyAlignment="1">
      <alignment horizontal="center" vertical="center"/>
    </xf>
    <xf numFmtId="0" fontId="11" fillId="0" borderId="0" xfId="0" applyFont="1"/>
    <xf numFmtId="0" fontId="12" fillId="0" borderId="0" xfId="0" applyFont="1" applyAlignment="1">
      <alignment horizontal="left" vertical="center" wrapText="1"/>
    </xf>
    <xf numFmtId="0" fontId="13" fillId="4" borderId="0" xfId="0" applyFont="1" applyFill="1"/>
    <xf numFmtId="0" fontId="14" fillId="0" borderId="0" xfId="0" applyFont="1"/>
    <xf numFmtId="164" fontId="15" fillId="0" borderId="0" xfId="0" applyNumberFormat="1" applyFont="1"/>
    <xf numFmtId="0" fontId="12" fillId="0" borderId="0" xfId="0" applyFont="1"/>
    <xf numFmtId="164" fontId="16" fillId="0" borderId="0" xfId="0" applyNumberFormat="1" applyFont="1"/>
    <xf numFmtId="164" fontId="16" fillId="5" borderId="0" xfId="0" applyNumberFormat="1" applyFont="1" applyFill="1"/>
    <xf numFmtId="164" fontId="15" fillId="5" borderId="0" xfId="0" applyNumberFormat="1" applyFont="1" applyFill="1"/>
    <xf numFmtId="164" fontId="13" fillId="6" borderId="0" xfId="0" applyNumberFormat="1" applyFont="1" applyFill="1"/>
    <xf numFmtId="164" fontId="17" fillId="6" borderId="0" xfId="0" applyNumberFormat="1" applyFont="1" applyFill="1"/>
    <xf numFmtId="164" fontId="18" fillId="0" borderId="0" xfId="0" applyNumberFormat="1" applyFont="1"/>
    <xf numFmtId="3" fontId="15" fillId="0" borderId="0" xfId="0" applyNumberFormat="1" applyFont="1"/>
    <xf numFmtId="3" fontId="18" fillId="0" borderId="0" xfId="0" applyNumberFormat="1" applyFont="1"/>
    <xf numFmtId="165" fontId="18" fillId="0" borderId="0" xfId="0" applyNumberFormat="1" applyFont="1"/>
    <xf numFmtId="0" fontId="19" fillId="0" borderId="0" xfId="0" applyFont="1"/>
    <xf numFmtId="0" fontId="10" fillId="3" borderId="2" xfId="0" applyFont="1" applyFill="1" applyBorder="1" applyAlignment="1">
      <alignment horizontal="left"/>
    </xf>
    <xf numFmtId="0" fontId="10" fillId="3" borderId="2" xfId="0" applyFont="1" applyFill="1" applyBorder="1" applyAlignment="1">
      <alignment horizontal="center"/>
    </xf>
    <xf numFmtId="0" fontId="14" fillId="0" borderId="2" xfId="0" applyFont="1" applyBorder="1"/>
    <xf numFmtId="166" fontId="14" fillId="0" borderId="2" xfId="0" applyNumberFormat="1" applyFont="1" applyBorder="1" applyAlignment="1">
      <alignment horizontal="center"/>
    </xf>
    <xf numFmtId="0" fontId="20" fillId="0" borderId="0" xfId="0" applyFont="1"/>
    <xf numFmtId="0" fontId="17" fillId="0" borderId="2" xfId="0" applyFont="1" applyBorder="1"/>
    <xf numFmtId="167" fontId="14" fillId="0" borderId="2" xfId="0" applyNumberFormat="1" applyFont="1" applyBorder="1" applyAlignment="1">
      <alignment horizontal="center"/>
    </xf>
    <xf numFmtId="168" fontId="14" fillId="0" borderId="2" xfId="0" applyNumberFormat="1" applyFont="1" applyBorder="1" applyAlignment="1">
      <alignment horizontal="center"/>
    </xf>
    <xf numFmtId="0" fontId="21" fillId="0" borderId="0" xfId="0" applyFont="1"/>
    <xf numFmtId="0" fontId="9" fillId="0" borderId="0" xfId="0" applyFont="1" applyAlignment="1">
      <alignment horizontal="left" vertical="top" wrapText="1"/>
    </xf>
    <xf numFmtId="0" fontId="10" fillId="3" borderId="2" xfId="0" applyFont="1" applyFill="1" applyBorder="1"/>
    <xf numFmtId="0" fontId="13" fillId="7" borderId="0" xfId="0" applyFont="1" applyFill="1"/>
    <xf numFmtId="0" fontId="13" fillId="0" borderId="0" xfId="0" applyFont="1" applyAlignment="1">
      <alignment horizontal="left" vertical="top" wrapText="1"/>
    </xf>
    <xf numFmtId="0" fontId="23" fillId="0" borderId="0" xfId="0" applyFont="1" applyAlignment="1">
      <alignment horizontal="left" vertical="top" wrapText="1"/>
    </xf>
    <xf numFmtId="0" fontId="24" fillId="8" borderId="0" xfId="0" applyFont="1" applyFill="1" applyAlignment="1">
      <alignment horizontal="left" vertical="top" wrapText="1"/>
    </xf>
    <xf numFmtId="0" fontId="25" fillId="8" borderId="0" xfId="0" applyFont="1" applyFill="1" applyAlignment="1">
      <alignment horizontal="left" vertical="top" wrapText="1"/>
    </xf>
    <xf numFmtId="0" fontId="20" fillId="0" borderId="0" xfId="0" applyFont="1" applyAlignment="1">
      <alignment horizontal="left" vertical="top" wrapText="1"/>
    </xf>
    <xf numFmtId="0" fontId="26" fillId="0" borderId="0" xfId="0" applyFont="1" applyAlignment="1">
      <alignment horizontal="left" vertical="top" wrapText="1"/>
    </xf>
    <xf numFmtId="0" fontId="10" fillId="3" borderId="0" xfId="0" applyFont="1" applyFill="1"/>
    <xf numFmtId="0" fontId="12" fillId="0" borderId="0" xfId="0" applyFont="1" applyAlignment="1">
      <alignment wrapText="1"/>
    </xf>
    <xf numFmtId="0" fontId="16" fillId="0" borderId="0" xfId="0" applyFont="1" applyAlignment="1">
      <alignment horizontal="right" vertical="center"/>
    </xf>
    <xf numFmtId="167" fontId="16" fillId="0" borderId="0" xfId="0" applyNumberFormat="1" applyFont="1" applyAlignment="1">
      <alignment horizontal="right" vertical="center"/>
    </xf>
    <xf numFmtId="167" fontId="27" fillId="8" borderId="0" xfId="0" applyNumberFormat="1" applyFont="1" applyFill="1" applyAlignment="1">
      <alignment horizontal="right" vertical="center"/>
    </xf>
    <xf numFmtId="0" fontId="27" fillId="9" borderId="0" xfId="0" applyFont="1" applyFill="1" applyAlignment="1">
      <alignment horizontal="right" vertical="center"/>
    </xf>
    <xf numFmtId="0" fontId="27" fillId="8" borderId="0" xfId="0" applyFont="1" applyFill="1" applyAlignment="1">
      <alignment horizontal="right" vertical="center"/>
    </xf>
    <xf numFmtId="164" fontId="16" fillId="0" borderId="0" xfId="0" applyNumberFormat="1" applyFont="1" applyAlignment="1">
      <alignment horizontal="right" vertical="center"/>
    </xf>
    <xf numFmtId="0" fontId="12" fillId="0" borderId="0" xfId="0" applyFont="1" applyAlignment="1">
      <alignment vertical="center" wrapText="1"/>
    </xf>
    <xf numFmtId="168" fontId="18" fillId="0" borderId="0" xfId="0" applyNumberFormat="1" applyFont="1" applyAlignment="1">
      <alignment horizontal="right" vertical="center"/>
    </xf>
    <xf numFmtId="0" fontId="16" fillId="10" borderId="0" xfId="0" applyFont="1" applyFill="1" applyAlignment="1">
      <alignment horizontal="right" vertical="center"/>
    </xf>
    <xf numFmtId="0" fontId="28" fillId="0" borderId="0" xfId="0" applyFont="1"/>
    <xf numFmtId="3" fontId="28" fillId="11" borderId="0" xfId="0" applyNumberFormat="1" applyFont="1" applyFill="1" applyAlignment="1">
      <alignment horizontal="right" vertical="center"/>
    </xf>
    <xf numFmtId="169" fontId="28" fillId="11" borderId="0" xfId="0" applyNumberFormat="1" applyFont="1" applyFill="1" applyAlignment="1">
      <alignment horizontal="right" vertical="center"/>
    </xf>
    <xf numFmtId="164" fontId="27" fillId="8" borderId="0" xfId="0" applyNumberFormat="1" applyFont="1" applyFill="1" applyAlignment="1">
      <alignment horizontal="right" vertical="center"/>
    </xf>
    <xf numFmtId="0" fontId="13" fillId="7" borderId="1" xfId="0" applyFont="1" applyFill="1" applyBorder="1"/>
    <xf numFmtId="164" fontId="13" fillId="7" borderId="1" xfId="0" applyNumberFormat="1" applyFont="1" applyFill="1" applyBorder="1"/>
    <xf numFmtId="164" fontId="16" fillId="12" borderId="0" xfId="0" applyNumberFormat="1" applyFont="1" applyFill="1" applyAlignment="1">
      <alignment horizontal="right" vertical="center"/>
    </xf>
    <xf numFmtId="0" fontId="16" fillId="12" borderId="0" xfId="0" applyFont="1" applyFill="1" applyAlignment="1">
      <alignment horizontal="right" vertical="center"/>
    </xf>
    <xf numFmtId="164" fontId="16" fillId="10" borderId="0" xfId="0" applyNumberFormat="1" applyFont="1" applyFill="1" applyAlignment="1">
      <alignment horizontal="right" vertical="center"/>
    </xf>
    <xf numFmtId="169" fontId="27" fillId="8" borderId="0" xfId="0" applyNumberFormat="1" applyFont="1" applyFill="1" applyAlignment="1">
      <alignment horizontal="right" vertical="center"/>
    </xf>
    <xf numFmtId="164" fontId="28" fillId="11" borderId="0" xfId="0" applyNumberFormat="1" applyFont="1" applyFill="1" applyAlignment="1">
      <alignment horizontal="right" vertical="center"/>
    </xf>
    <xf numFmtId="3" fontId="27" fillId="8" borderId="0" xfId="0" applyNumberFormat="1" applyFont="1" applyFill="1" applyAlignment="1">
      <alignment horizontal="right" vertical="center"/>
    </xf>
    <xf numFmtId="0" fontId="29" fillId="0" borderId="0" xfId="0" applyFont="1"/>
    <xf numFmtId="164" fontId="15" fillId="0" borderId="0" xfId="0" applyNumberFormat="1" applyFont="1" applyAlignment="1">
      <alignment horizontal="right" vertical="center"/>
    </xf>
    <xf numFmtId="0" fontId="17" fillId="3" borderId="1" xfId="0" applyFont="1" applyFill="1" applyBorder="1" applyAlignment="1">
      <alignment horizontal="center" vertical="center"/>
    </xf>
    <xf numFmtId="0" fontId="17" fillId="0" borderId="0" xfId="0" applyFont="1"/>
    <xf numFmtId="0" fontId="0" fillId="0" borderId="0" xfId="0" applyAlignment="1">
      <alignment horizontal="center" vertical="center"/>
    </xf>
    <xf numFmtId="0" fontId="22" fillId="0" borderId="0" xfId="0" applyFont="1" applyAlignment="1">
      <alignment vertical="top" wrapText="1"/>
    </xf>
    <xf numFmtId="0" fontId="13" fillId="9" borderId="1" xfId="0" applyFont="1" applyFill="1" applyBorder="1"/>
    <xf numFmtId="0" fontId="13" fillId="0" borderId="1" xfId="0" applyFont="1" applyBorder="1"/>
    <xf numFmtId="1" fontId="10" fillId="3" borderId="0" xfId="0" applyNumberFormat="1" applyFont="1" applyFill="1" applyAlignment="1">
      <alignment horizontal="center" vertical="center"/>
    </xf>
    <xf numFmtId="164" fontId="30" fillId="5" borderId="0" xfId="0" applyNumberFormat="1" applyFont="1" applyFill="1"/>
    <xf numFmtId="164" fontId="0" fillId="0" borderId="0" xfId="0" applyNumberFormat="1"/>
    <xf numFmtId="0" fontId="10" fillId="2" borderId="0" xfId="0" applyFont="1" applyFill="1"/>
    <xf numFmtId="0" fontId="31" fillId="0" borderId="3" xfId="0" applyFont="1" applyBorder="1" applyAlignment="1">
      <alignment vertical="top" wrapText="1"/>
    </xf>
    <xf numFmtId="0" fontId="6" fillId="0" borderId="3" xfId="0" applyFont="1" applyBorder="1" applyAlignment="1">
      <alignment vertical="top" wrapText="1"/>
    </xf>
    <xf numFmtId="0" fontId="9" fillId="0" borderId="0" xfId="0" applyFont="1" applyAlignment="1">
      <alignment horizontal="left" vertical="center" wrapText="1"/>
    </xf>
    <xf numFmtId="0" fontId="21" fillId="4" borderId="0" xfId="0" applyFont="1" applyFill="1"/>
    <xf numFmtId="0" fontId="22" fillId="0" borderId="0" xfId="0" applyFont="1"/>
    <xf numFmtId="164" fontId="22" fillId="6" borderId="0" xfId="0" applyNumberFormat="1" applyFont="1" applyFill="1"/>
    <xf numFmtId="164" fontId="18" fillId="6" borderId="0" xfId="0" applyNumberFormat="1" applyFont="1" applyFill="1"/>
    <xf numFmtId="170" fontId="32" fillId="0" borderId="0" xfId="0" applyNumberFormat="1" applyFont="1"/>
    <xf numFmtId="166" fontId="33" fillId="0" borderId="0" xfId="0" applyNumberFormat="1" applyFont="1"/>
    <xf numFmtId="164" fontId="0" fillId="7" borderId="0" xfId="0" applyNumberFormat="1" applyFill="1"/>
    <xf numFmtId="170" fontId="32" fillId="6" borderId="0" xfId="0" applyNumberFormat="1" applyFont="1" applyFill="1"/>
    <xf numFmtId="166" fontId="33" fillId="6" borderId="0" xfId="0" applyNumberFormat="1" applyFont="1" applyFill="1"/>
    <xf numFmtId="164" fontId="18" fillId="5" borderId="0" xfId="0" applyNumberFormat="1" applyFont="1" applyFill="1"/>
    <xf numFmtId="164" fontId="15" fillId="8" borderId="0" xfId="0" applyNumberFormat="1" applyFont="1" applyFill="1"/>
    <xf numFmtId="164" fontId="15" fillId="10" borderId="0" xfId="0" applyNumberFormat="1" applyFont="1" applyFill="1"/>
    <xf numFmtId="166" fontId="15" fillId="10" borderId="0" xfId="0" applyNumberFormat="1" applyFont="1" applyFill="1"/>
    <xf numFmtId="166" fontId="15" fillId="0" borderId="0" xfId="0" applyNumberFormat="1" applyFont="1"/>
    <xf numFmtId="166" fontId="13" fillId="7" borderId="1" xfId="0" applyNumberFormat="1" applyFont="1" applyFill="1" applyBorder="1"/>
    <xf numFmtId="166" fontId="18" fillId="0" borderId="0" xfId="0" applyNumberFormat="1" applyFont="1"/>
    <xf numFmtId="166" fontId="0" fillId="0" borderId="0" xfId="0" applyNumberFormat="1"/>
    <xf numFmtId="0" fontId="0" fillId="7" borderId="1" xfId="0" applyFill="1" applyBorder="1"/>
    <xf numFmtId="0" fontId="13" fillId="0" borderId="0" xfId="0" applyFont="1"/>
    <xf numFmtId="0" fontId="34"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9E8B50"/>
      <rgbColor rgb="FF800080"/>
      <rgbColor rgb="FF008080"/>
      <rgbColor rgb="FFCCCCCC"/>
      <rgbColor rgb="FF888888"/>
      <rgbColor rgb="FF9999FF"/>
      <rgbColor rgb="FF7030A0"/>
      <rgbColor rgb="FFFFF2CC"/>
      <rgbColor rgb="FFE2EFDA"/>
      <rgbColor rgb="FF444444"/>
      <rgbColor rgb="FFFF8080"/>
      <rgbColor rgb="FF0066CC"/>
      <rgbColor rgb="FFD9E1F2"/>
      <rgbColor rgb="FF000080"/>
      <rgbColor rgb="FFFF00FF"/>
      <rgbColor rgb="FFFFFF00"/>
      <rgbColor rgb="FF00FFFF"/>
      <rgbColor rgb="FF800080"/>
      <rgbColor rgb="FF800000"/>
      <rgbColor rgb="FF008080"/>
      <rgbColor rgb="FF0000FF"/>
      <rgbColor rgb="FF00CCFF"/>
      <rgbColor rgb="FFD9E5F1"/>
      <rgbColor rgb="FFC6EFCE"/>
      <rgbColor rgb="FFFFE699"/>
      <rgbColor rgb="FFE0E0E0"/>
      <rgbColor rgb="FFEDE0F4"/>
      <rgbColor rgb="FFCC99FF"/>
      <rgbColor rgb="FFFFD7D7"/>
      <rgbColor rgb="FF3366FF"/>
      <rgbColor rgb="FF33CCCC"/>
      <rgbColor rgb="FF99CC00"/>
      <rgbColor rgb="FFFFCC00"/>
      <rgbColor rgb="FFFF9900"/>
      <rgbColor rgb="FFC77138"/>
      <rgbColor rgb="FF666666"/>
      <rgbColor rgb="FF999999"/>
      <rgbColor rgb="FF1F4E79"/>
      <rgbColor rgb="FF555555"/>
      <rgbColor rgb="FF006100"/>
      <rgbColor rgb="FF35403A"/>
      <rgbColor rgb="FFC0392B"/>
      <rgbColor rgb="FF9C5700"/>
      <rgbColor rgb="FF30549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FAD8C95-C082-F846-8EAE-645F26889DE1}">
  <we:reference id="29673e3c-d826-4f00-92ee-162334a52b1a" version="1.0.0.8" store="EXCatalog" storeType="EXCatalog"/>
  <we:alternateReferences>
    <we:reference id="WA200009404" version="1.0.0.8" store="en-US" storeType="OMEX"/>
  </we:alternateReferences>
  <we:properties>
    <we:property name="claude.fileId" value="&quot;52e76729-da50-46c6-a3fb-f346b3141336&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8"/>
  <sheetViews>
    <sheetView showGridLines="0" tabSelected="1" zoomScaleNormal="100" workbookViewId="0">
      <selection activeCell="A2" sqref="A2"/>
    </sheetView>
  </sheetViews>
  <sheetFormatPr baseColWidth="10" defaultColWidth="8.6640625" defaultRowHeight="15" x14ac:dyDescent="0.2"/>
  <cols>
    <col min="1" max="1" width="3" customWidth="1"/>
    <col min="2" max="2" width="115" customWidth="1"/>
  </cols>
  <sheetData>
    <row r="1" spans="2:2" ht="25.5" customHeight="1" x14ac:dyDescent="0.2">
      <c r="B1" s="4" t="s">
        <v>0</v>
      </c>
    </row>
    <row r="2" spans="2:2" ht="19.5" customHeight="1" x14ac:dyDescent="0.2">
      <c r="B2" s="5" t="s">
        <v>1</v>
      </c>
    </row>
    <row r="4" spans="2:2" ht="55.5" customHeight="1" x14ac:dyDescent="0.2">
      <c r="B4" s="6" t="s">
        <v>2</v>
      </c>
    </row>
    <row r="5" spans="2:2" ht="27.75" customHeight="1" x14ac:dyDescent="0.2">
      <c r="B5" s="7" t="s">
        <v>3</v>
      </c>
    </row>
    <row r="7" spans="2:2" ht="21.75" customHeight="1" x14ac:dyDescent="0.2">
      <c r="B7" s="8" t="s">
        <v>4</v>
      </c>
    </row>
    <row r="8" spans="2:2" ht="15" customHeight="1" x14ac:dyDescent="0.2">
      <c r="B8" s="9" t="s">
        <v>5</v>
      </c>
    </row>
    <row r="9" spans="2:2" ht="15" customHeight="1" x14ac:dyDescent="0.2">
      <c r="B9" s="9" t="s">
        <v>6</v>
      </c>
    </row>
    <row r="10" spans="2:2" ht="15" customHeight="1" x14ac:dyDescent="0.2">
      <c r="B10" s="9" t="s">
        <v>7</v>
      </c>
    </row>
    <row r="11" spans="2:2" ht="15" customHeight="1" x14ac:dyDescent="0.2">
      <c r="B11" s="9" t="s">
        <v>8</v>
      </c>
    </row>
    <row r="12" spans="2:2" ht="15" customHeight="1" x14ac:dyDescent="0.2">
      <c r="B12" s="9" t="s">
        <v>9</v>
      </c>
    </row>
    <row r="13" spans="2:2" ht="15" customHeight="1" x14ac:dyDescent="0.2">
      <c r="B13" s="9" t="s">
        <v>10</v>
      </c>
    </row>
    <row r="14" spans="2:2" ht="15" customHeight="1" x14ac:dyDescent="0.2">
      <c r="B14" s="9" t="s">
        <v>11</v>
      </c>
    </row>
    <row r="16" spans="2:2" ht="21.75" customHeight="1" x14ac:dyDescent="0.2">
      <c r="B16" s="8" t="s">
        <v>12</v>
      </c>
    </row>
    <row r="17" spans="2:2" ht="15" customHeight="1" x14ac:dyDescent="0.2">
      <c r="B17" s="10" t="s">
        <v>13</v>
      </c>
    </row>
    <row r="18" spans="2:2" ht="42" customHeight="1" x14ac:dyDescent="0.2">
      <c r="B18" s="9" t="s">
        <v>14</v>
      </c>
    </row>
    <row r="19" spans="2:2" ht="15" customHeight="1" x14ac:dyDescent="0.2">
      <c r="B19" s="10" t="s">
        <v>15</v>
      </c>
    </row>
    <row r="20" spans="2:2" ht="42" customHeight="1" x14ac:dyDescent="0.2">
      <c r="B20" s="9" t="s">
        <v>16</v>
      </c>
    </row>
    <row r="21" spans="2:2" ht="15" customHeight="1" x14ac:dyDescent="0.2">
      <c r="B21" s="10" t="s">
        <v>17</v>
      </c>
    </row>
    <row r="22" spans="2:2" ht="27.75" customHeight="1" x14ac:dyDescent="0.2">
      <c r="B22" s="9" t="s">
        <v>18</v>
      </c>
    </row>
    <row r="24" spans="2:2" ht="21.75" customHeight="1" x14ac:dyDescent="0.2">
      <c r="B24" s="8" t="s">
        <v>19</v>
      </c>
    </row>
    <row r="25" spans="2:2" ht="15" customHeight="1" x14ac:dyDescent="0.2">
      <c r="B25" s="10" t="s">
        <v>20</v>
      </c>
    </row>
    <row r="26" spans="2:2" ht="42" customHeight="1" x14ac:dyDescent="0.2">
      <c r="B26" s="9" t="s">
        <v>21</v>
      </c>
    </row>
    <row r="27" spans="2:2" ht="15" customHeight="1" x14ac:dyDescent="0.2">
      <c r="B27" s="10" t="s">
        <v>22</v>
      </c>
    </row>
    <row r="28" spans="2:2" ht="27.75" customHeight="1" x14ac:dyDescent="0.2">
      <c r="B28" s="9" t="s">
        <v>23</v>
      </c>
    </row>
    <row r="29" spans="2:2" ht="15" customHeight="1" x14ac:dyDescent="0.2">
      <c r="B29" s="10" t="s">
        <v>24</v>
      </c>
    </row>
    <row r="30" spans="2:2" ht="27.75" customHeight="1" x14ac:dyDescent="0.2">
      <c r="B30" s="9" t="s">
        <v>25</v>
      </c>
    </row>
    <row r="31" spans="2:2" ht="15" customHeight="1" x14ac:dyDescent="0.2">
      <c r="B31" s="10" t="s">
        <v>26</v>
      </c>
    </row>
    <row r="32" spans="2:2" ht="27.75" customHeight="1" x14ac:dyDescent="0.2">
      <c r="B32" s="9" t="s">
        <v>27</v>
      </c>
    </row>
    <row r="33" spans="2:2" ht="15" customHeight="1" x14ac:dyDescent="0.2">
      <c r="B33" s="10" t="s">
        <v>28</v>
      </c>
    </row>
    <row r="34" spans="2:2" ht="27.75" customHeight="1" x14ac:dyDescent="0.2">
      <c r="B34" s="9" t="s">
        <v>29</v>
      </c>
    </row>
    <row r="36" spans="2:2" ht="21.75" customHeight="1" x14ac:dyDescent="0.2">
      <c r="B36" s="8" t="s">
        <v>30</v>
      </c>
    </row>
    <row r="37" spans="2:2" ht="27.75" customHeight="1" x14ac:dyDescent="0.2">
      <c r="B37" s="6" t="s">
        <v>31</v>
      </c>
    </row>
    <row r="38" spans="2:2" ht="27.75" customHeight="1" x14ac:dyDescent="0.2">
      <c r="B38" s="9" t="s">
        <v>32</v>
      </c>
    </row>
  </sheetData>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G40"/>
  <sheetViews>
    <sheetView zoomScaleNormal="100" workbookViewId="0">
      <pane xSplit="3" ySplit="6" topLeftCell="D7" activePane="bottomRight" state="frozen"/>
      <selection pane="topRight" activeCell="D1" sqref="D1"/>
      <selection pane="bottomLeft" activeCell="A7" sqref="A7"/>
      <selection pane="bottomRight"/>
    </sheetView>
  </sheetViews>
  <sheetFormatPr baseColWidth="10" defaultColWidth="8.6640625" defaultRowHeight="15" x14ac:dyDescent="0.2"/>
  <cols>
    <col min="1" max="1" width="4" customWidth="1"/>
    <col min="2" max="2" width="42" customWidth="1"/>
    <col min="3" max="3" width="14" customWidth="1"/>
    <col min="4" max="4" width="14.6640625" customWidth="1"/>
    <col min="5" max="5" width="15.6640625" customWidth="1"/>
    <col min="6" max="6" width="16.33203125" customWidth="1"/>
    <col min="7" max="7" width="12.83203125" customWidth="1"/>
    <col min="8" max="8" width="13.5" customWidth="1"/>
    <col min="9" max="33" width="11" customWidth="1"/>
  </cols>
  <sheetData>
    <row r="1" spans="2:33" ht="17.25" customHeight="1" x14ac:dyDescent="0.2">
      <c r="B1" s="11" t="s">
        <v>688</v>
      </c>
    </row>
    <row r="2" spans="2:33" ht="30" customHeight="1" x14ac:dyDescent="0.2">
      <c r="B2" s="85" t="s">
        <v>689</v>
      </c>
    </row>
    <row r="4" spans="2:33" ht="15" customHeight="1" x14ac:dyDescent="0.2">
      <c r="B4" s="86" t="s">
        <v>631</v>
      </c>
      <c r="D4" s="87" t="s">
        <v>567</v>
      </c>
      <c r="E4" s="88" t="s">
        <v>632</v>
      </c>
      <c r="F4" s="87" t="s">
        <v>665</v>
      </c>
      <c r="G4" s="88" t="s">
        <v>634</v>
      </c>
      <c r="H4" s="87" t="s">
        <v>635</v>
      </c>
      <c r="I4" s="89"/>
    </row>
    <row r="5" spans="2:33" ht="15" customHeight="1" x14ac:dyDescent="0.2">
      <c r="D5" s="90">
        <f>-NPV(Parameters!$C$9,D38:AG38)</f>
        <v>-54941593.085810028</v>
      </c>
      <c r="E5" s="93">
        <f>-NPV(Parameters!$C$9,D40:AG40)</f>
        <v>-49787020.19111561</v>
      </c>
      <c r="F5" s="90">
        <f>-C27</f>
        <v>-44483803.346000001</v>
      </c>
      <c r="G5" s="94">
        <f>C26</f>
        <v>43983803.346000001</v>
      </c>
      <c r="H5" s="91">
        <f>PMT(Parameters!$C$14,Parameters!$C$15,-C26)</f>
        <v>2700233.5503990822</v>
      </c>
      <c r="I5" s="95"/>
    </row>
    <row r="6" spans="2:33" ht="15" customHeight="1" x14ac:dyDescent="0.2">
      <c r="B6" s="48" t="s">
        <v>636</v>
      </c>
      <c r="C6" s="48" t="s">
        <v>637</v>
      </c>
      <c r="D6" s="79">
        <f>Parameters!$C$8+0</f>
        <v>2027</v>
      </c>
      <c r="E6" s="79">
        <f>Parameters!$C$8+1</f>
        <v>2028</v>
      </c>
      <c r="F6" s="79">
        <f>Parameters!$C$8+2</f>
        <v>2029</v>
      </c>
      <c r="G6" s="79">
        <f>Parameters!$C$8+3</f>
        <v>2030</v>
      </c>
      <c r="H6" s="79">
        <f>Parameters!$C$8+4</f>
        <v>2031</v>
      </c>
      <c r="I6" s="79">
        <f>Parameters!$C$8+5</f>
        <v>2032</v>
      </c>
      <c r="J6" s="79">
        <f>Parameters!$C$8+6</f>
        <v>2033</v>
      </c>
      <c r="K6" s="79">
        <f>Parameters!$C$8+7</f>
        <v>2034</v>
      </c>
      <c r="L6" s="79">
        <f>Parameters!$C$8+8</f>
        <v>2035</v>
      </c>
      <c r="M6" s="79">
        <f>Parameters!$C$8+9</f>
        <v>2036</v>
      </c>
      <c r="N6" s="79">
        <f>Parameters!$C$8+10</f>
        <v>2037</v>
      </c>
      <c r="O6" s="79">
        <f>Parameters!$C$8+11</f>
        <v>2038</v>
      </c>
      <c r="P6" s="79">
        <f>Parameters!$C$8+12</f>
        <v>2039</v>
      </c>
      <c r="Q6" s="79">
        <f>Parameters!$C$8+13</f>
        <v>2040</v>
      </c>
      <c r="R6" s="79">
        <f>Parameters!$C$8+14</f>
        <v>2041</v>
      </c>
      <c r="S6" s="79">
        <f>Parameters!$C$8+15</f>
        <v>2042</v>
      </c>
      <c r="T6" s="79">
        <f>Parameters!$C$8+16</f>
        <v>2043</v>
      </c>
      <c r="U6" s="79">
        <f>Parameters!$C$8+17</f>
        <v>2044</v>
      </c>
      <c r="V6" s="79">
        <f>Parameters!$C$8+18</f>
        <v>2045</v>
      </c>
      <c r="W6" s="79">
        <f>Parameters!$C$8+19</f>
        <v>2046</v>
      </c>
      <c r="X6" s="79">
        <f>Parameters!$C$8+20</f>
        <v>2047</v>
      </c>
      <c r="Y6" s="79">
        <f>Parameters!$C$8+21</f>
        <v>2048</v>
      </c>
      <c r="Z6" s="79">
        <f>Parameters!$C$8+22</f>
        <v>2049</v>
      </c>
      <c r="AA6" s="79">
        <f>Parameters!$C$8+23</f>
        <v>2050</v>
      </c>
      <c r="AB6" s="79">
        <f>Parameters!$C$8+24</f>
        <v>2051</v>
      </c>
      <c r="AC6" s="79">
        <f>Parameters!$C$8+25</f>
        <v>2052</v>
      </c>
      <c r="AD6" s="79">
        <f>Parameters!$C$8+26</f>
        <v>2053</v>
      </c>
      <c r="AE6" s="79">
        <f>Parameters!$C$8+27</f>
        <v>2054</v>
      </c>
      <c r="AF6" s="79">
        <f>Parameters!$C$8+28</f>
        <v>2055</v>
      </c>
      <c r="AG6" s="79">
        <f>Parameters!$C$8+29</f>
        <v>2056</v>
      </c>
    </row>
    <row r="7" spans="2:33" ht="15" customHeight="1" x14ac:dyDescent="0.2">
      <c r="B7" s="16" t="s">
        <v>690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2:33" ht="15" customHeight="1" x14ac:dyDescent="0.2">
      <c r="B8" t="s">
        <v>667</v>
      </c>
      <c r="C8" s="96">
        <f>Parameters!$C$111</f>
        <v>450000</v>
      </c>
    </row>
    <row r="9" spans="2:33" ht="15" customHeight="1" x14ac:dyDescent="0.2">
      <c r="B9" t="s">
        <v>691</v>
      </c>
      <c r="C9" s="25">
        <f>Parameters!$C$117*Parameters!$C$118</f>
        <v>22376880</v>
      </c>
    </row>
    <row r="10" spans="2:33" ht="15" customHeight="1" x14ac:dyDescent="0.2">
      <c r="B10" t="s">
        <v>364</v>
      </c>
      <c r="C10" s="18">
        <f>Parameters!$C$119</f>
        <v>3700000</v>
      </c>
    </row>
    <row r="11" spans="2:33" ht="15" customHeight="1" x14ac:dyDescent="0.2">
      <c r="B11" t="s">
        <v>603</v>
      </c>
      <c r="C11" s="20">
        <v>500000</v>
      </c>
    </row>
    <row r="12" spans="2:33" ht="15" customHeight="1" x14ac:dyDescent="0.2">
      <c r="B12" s="63" t="s">
        <v>692</v>
      </c>
      <c r="C12" s="64">
        <f>SUM(C8:C11)</f>
        <v>27026880</v>
      </c>
    </row>
    <row r="14" spans="2:33" ht="15" customHeight="1" x14ac:dyDescent="0.2">
      <c r="B14" s="16" t="s">
        <v>693</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2:33" ht="15" customHeight="1" x14ac:dyDescent="0.2">
      <c r="B15" t="s">
        <v>694</v>
      </c>
      <c r="C15" s="97">
        <f>Parameters!$C$88</f>
        <v>4500000</v>
      </c>
    </row>
    <row r="16" spans="2:33" ht="15" customHeight="1" x14ac:dyDescent="0.2">
      <c r="B16" t="s">
        <v>695</v>
      </c>
      <c r="C16" s="97">
        <f>Parameters!$C$91</f>
        <v>6000000</v>
      </c>
    </row>
    <row r="17" spans="2:33" ht="15" customHeight="1" x14ac:dyDescent="0.2">
      <c r="B17" t="s">
        <v>696</v>
      </c>
      <c r="C17" s="18">
        <f>Parameters!$C$95</f>
        <v>600000</v>
      </c>
    </row>
    <row r="18" spans="2:33" ht="15" customHeight="1" x14ac:dyDescent="0.2">
      <c r="B18" s="63" t="s">
        <v>697</v>
      </c>
      <c r="C18" s="64">
        <f>SUM(C15:C17)</f>
        <v>11100000</v>
      </c>
    </row>
    <row r="19" spans="2:33" ht="15" customHeight="1" x14ac:dyDescent="0.2">
      <c r="B19" t="s">
        <v>698</v>
      </c>
      <c r="C19" s="25">
        <f>C18*(Parameters!$C$98+Parameters!$C$99)</f>
        <v>1387500</v>
      </c>
    </row>
    <row r="20" spans="2:33" ht="15" customHeight="1" x14ac:dyDescent="0.2">
      <c r="B20" s="63" t="s">
        <v>699</v>
      </c>
      <c r="C20" s="64">
        <f>C18+C19</f>
        <v>12487500</v>
      </c>
    </row>
    <row r="22" spans="2:33" ht="15" customHeight="1" x14ac:dyDescent="0.2">
      <c r="B22" t="s">
        <v>700</v>
      </c>
      <c r="C22" s="25">
        <f>(C12-C8)*(Parameters!$C$98+Parameters!$C$99+Parameters!$C$100)+Parameters!$C$102</f>
        <v>4319416.4000000004</v>
      </c>
    </row>
    <row r="23" spans="2:33" ht="15" customHeight="1" x14ac:dyDescent="0.2">
      <c r="B23" s="63" t="s">
        <v>701</v>
      </c>
      <c r="C23" s="64">
        <f>C12+C22+C20</f>
        <v>43833796.399999999</v>
      </c>
    </row>
    <row r="24" spans="2:33" ht="15" customHeight="1" x14ac:dyDescent="0.2">
      <c r="B24" t="s">
        <v>677</v>
      </c>
      <c r="C24" s="18">
        <f>-Parameters!$C$149</f>
        <v>-500000</v>
      </c>
    </row>
    <row r="25" spans="2:33" ht="15" customHeight="1" x14ac:dyDescent="0.2">
      <c r="B25" t="s">
        <v>678</v>
      </c>
      <c r="C25" s="25">
        <f>(C23+C24)*Parameters!$C$101</f>
        <v>650006.946</v>
      </c>
    </row>
    <row r="26" spans="2:33" ht="15" customHeight="1" x14ac:dyDescent="0.2">
      <c r="B26" s="63" t="s">
        <v>679</v>
      </c>
      <c r="C26" s="64">
        <f>C23+C24+C25</f>
        <v>43983803.346000001</v>
      </c>
    </row>
    <row r="27" spans="2:33" ht="15" customHeight="1" x14ac:dyDescent="0.2">
      <c r="B27" s="63" t="s">
        <v>49</v>
      </c>
      <c r="C27" s="64">
        <f>C23+C25</f>
        <v>44483803.346000001</v>
      </c>
    </row>
    <row r="29" spans="2:33" ht="15" customHeight="1" x14ac:dyDescent="0.2">
      <c r="B29" s="16" t="s">
        <v>680</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2:33" ht="15" customHeight="1" x14ac:dyDescent="0.2">
      <c r="B30" t="s">
        <v>579</v>
      </c>
      <c r="D30" s="25">
        <f>IF(1&lt;=Parameters!$C$15, PMT(Parameters!$C$14, Parameters!$C$15, -C26), 0)</f>
        <v>2700233.5503990822</v>
      </c>
      <c r="E30" s="25">
        <f>IF(2&lt;=Parameters!$C$15, PMT(Parameters!$C$14, Parameters!$C$15, -C26), 0)</f>
        <v>2700233.5503990822</v>
      </c>
      <c r="F30" s="25">
        <f>IF(3&lt;=Parameters!$C$15, PMT(Parameters!$C$14, Parameters!$C$15, -C26), 0)</f>
        <v>2700233.5503990822</v>
      </c>
      <c r="G30" s="25">
        <f>IF(4&lt;=Parameters!$C$15, PMT(Parameters!$C$14, Parameters!$C$15, -C26), 0)</f>
        <v>2700233.5503990822</v>
      </c>
      <c r="H30" s="25">
        <f>IF(5&lt;=Parameters!$C$15, PMT(Parameters!$C$14, Parameters!$C$15, -C26), 0)</f>
        <v>2700233.5503990822</v>
      </c>
      <c r="I30" s="25">
        <f>IF(6&lt;=Parameters!$C$15, PMT(Parameters!$C$14, Parameters!$C$15, -C26), 0)</f>
        <v>2700233.5503990822</v>
      </c>
      <c r="J30" s="25">
        <f>IF(7&lt;=Parameters!$C$15, PMT(Parameters!$C$14, Parameters!$C$15, -C26), 0)</f>
        <v>2700233.5503990822</v>
      </c>
      <c r="K30" s="25">
        <f>IF(8&lt;=Parameters!$C$15, PMT(Parameters!$C$14, Parameters!$C$15, -C26), 0)</f>
        <v>2700233.5503990822</v>
      </c>
      <c r="L30" s="25">
        <f>IF(9&lt;=Parameters!$C$15, PMT(Parameters!$C$14, Parameters!$C$15, -C26), 0)</f>
        <v>2700233.5503990822</v>
      </c>
      <c r="M30" s="25">
        <f>IF(10&lt;=Parameters!$C$15, PMT(Parameters!$C$14, Parameters!$C$15, -C26), 0)</f>
        <v>2700233.5503990822</v>
      </c>
      <c r="N30" s="25">
        <f>IF(11&lt;=Parameters!$C$15, PMT(Parameters!$C$14, Parameters!$C$15, -C26), 0)</f>
        <v>2700233.5503990822</v>
      </c>
      <c r="O30" s="25">
        <f>IF(12&lt;=Parameters!$C$15, PMT(Parameters!$C$14, Parameters!$C$15, -C26), 0)</f>
        <v>2700233.5503990822</v>
      </c>
      <c r="P30" s="25">
        <f>IF(13&lt;=Parameters!$C$15, PMT(Parameters!$C$14, Parameters!$C$15, -C26), 0)</f>
        <v>2700233.5503990822</v>
      </c>
      <c r="Q30" s="25">
        <f>IF(14&lt;=Parameters!$C$15, PMT(Parameters!$C$14, Parameters!$C$15, -C26), 0)</f>
        <v>2700233.5503990822</v>
      </c>
      <c r="R30" s="25">
        <f>IF(15&lt;=Parameters!$C$15, PMT(Parameters!$C$14, Parameters!$C$15, -C26), 0)</f>
        <v>2700233.5503990822</v>
      </c>
      <c r="S30" s="25">
        <f>IF(16&lt;=Parameters!$C$15, PMT(Parameters!$C$14, Parameters!$C$15, -C26), 0)</f>
        <v>2700233.5503990822</v>
      </c>
      <c r="T30" s="25">
        <f>IF(17&lt;=Parameters!$C$15, PMT(Parameters!$C$14, Parameters!$C$15, -C26), 0)</f>
        <v>2700233.5503990822</v>
      </c>
      <c r="U30" s="25">
        <f>IF(18&lt;=Parameters!$C$15, PMT(Parameters!$C$14, Parameters!$C$15, -C26), 0)</f>
        <v>2700233.5503990822</v>
      </c>
      <c r="V30" s="25">
        <f>IF(19&lt;=Parameters!$C$15, PMT(Parameters!$C$14, Parameters!$C$15, -C26), 0)</f>
        <v>2700233.5503990822</v>
      </c>
      <c r="W30" s="25">
        <f>IF(20&lt;=Parameters!$C$15, PMT(Parameters!$C$14, Parameters!$C$15, -C26), 0)</f>
        <v>2700233.5503990822</v>
      </c>
      <c r="X30" s="25">
        <f>IF(21&lt;=Parameters!$C$15, PMT(Parameters!$C$14, Parameters!$C$15, -C26), 0)</f>
        <v>2700233.5503990822</v>
      </c>
      <c r="Y30" s="25">
        <f>IF(22&lt;=Parameters!$C$15, PMT(Parameters!$C$14, Parameters!$C$15, -C26), 0)</f>
        <v>2700233.5503990822</v>
      </c>
      <c r="Z30" s="25">
        <f>IF(23&lt;=Parameters!$C$15, PMT(Parameters!$C$14, Parameters!$C$15, -C26), 0)</f>
        <v>2700233.5503990822</v>
      </c>
      <c r="AA30" s="25">
        <f>IF(24&lt;=Parameters!$C$15, PMT(Parameters!$C$14, Parameters!$C$15, -C26), 0)</f>
        <v>2700233.5503990822</v>
      </c>
      <c r="AB30" s="25">
        <f>IF(25&lt;=Parameters!$C$15, PMT(Parameters!$C$14, Parameters!$C$15, -C26), 0)</f>
        <v>2700233.5503990822</v>
      </c>
      <c r="AC30" s="25">
        <f>IF(26&lt;=Parameters!$C$15, PMT(Parameters!$C$14, Parameters!$C$15, -C26), 0)</f>
        <v>2700233.5503990822</v>
      </c>
      <c r="AD30" s="25">
        <f>IF(27&lt;=Parameters!$C$15, PMT(Parameters!$C$14, Parameters!$C$15, -C26), 0)</f>
        <v>2700233.5503990822</v>
      </c>
      <c r="AE30" s="25">
        <f>IF(28&lt;=Parameters!$C$15, PMT(Parameters!$C$14, Parameters!$C$15, -C26), 0)</f>
        <v>2700233.5503990822</v>
      </c>
      <c r="AF30" s="25">
        <f>IF(29&lt;=Parameters!$C$15, PMT(Parameters!$C$14, Parameters!$C$15, -C26), 0)</f>
        <v>2700233.5503990822</v>
      </c>
      <c r="AG30" s="25">
        <f>IF(30&lt;=Parameters!$C$15, PMT(Parameters!$C$14, Parameters!$C$15, -C26), 0)</f>
        <v>2700233.5503990822</v>
      </c>
    </row>
    <row r="31" spans="2:33" ht="15" customHeight="1" x14ac:dyDescent="0.2">
      <c r="B31" t="s">
        <v>702</v>
      </c>
      <c r="D31" s="25">
        <f>IF(1&lt;=(Parameters!$C$151+Parameters!$C$152), Parameters!$C$57*(1+Parameters!$C$12)^0, 0)</f>
        <v>101500</v>
      </c>
      <c r="E31" s="25">
        <f>IF(2&lt;=(Parameters!$C$151+Parameters!$C$152), Parameters!$C$57*(1+Parameters!$C$12)^1, 0)</f>
        <v>101500</v>
      </c>
      <c r="F31" s="25">
        <f>IF(3&lt;=(Parameters!$C$151+Parameters!$C$152), Parameters!$C$57*(1+Parameters!$C$12)^2, 0)</f>
        <v>101500</v>
      </c>
      <c r="G31" s="25">
        <f>IF(4&lt;=(Parameters!$C$151+Parameters!$C$152), Parameters!$C$57*(1+Parameters!$C$12)^3, 0)</f>
        <v>0</v>
      </c>
      <c r="H31" s="25">
        <f>IF(5&lt;=(Parameters!$C$151+Parameters!$C$152), Parameters!$C$57*(1+Parameters!$C$12)^4, 0)</f>
        <v>0</v>
      </c>
      <c r="I31" s="25">
        <f>IF(6&lt;=(Parameters!$C$151+Parameters!$C$152), Parameters!$C$57*(1+Parameters!$C$12)^5, 0)</f>
        <v>0</v>
      </c>
      <c r="J31" s="25">
        <f>IF(7&lt;=(Parameters!$C$151+Parameters!$C$152), Parameters!$C$57*(1+Parameters!$C$12)^6, 0)</f>
        <v>0</v>
      </c>
      <c r="K31" s="25">
        <f>IF(8&lt;=(Parameters!$C$151+Parameters!$C$152), Parameters!$C$57*(1+Parameters!$C$12)^7, 0)</f>
        <v>0</v>
      </c>
      <c r="L31" s="25">
        <f>IF(9&lt;=(Parameters!$C$151+Parameters!$C$152), Parameters!$C$57*(1+Parameters!$C$12)^8, 0)</f>
        <v>0</v>
      </c>
      <c r="M31" s="25">
        <f>IF(10&lt;=(Parameters!$C$151+Parameters!$C$152), Parameters!$C$57*(1+Parameters!$C$12)^9, 0)</f>
        <v>0</v>
      </c>
      <c r="N31" s="25">
        <f>IF(11&lt;=(Parameters!$C$151+Parameters!$C$152), Parameters!$C$57*(1+Parameters!$C$12)^10, 0)</f>
        <v>0</v>
      </c>
      <c r="O31" s="25">
        <f>IF(12&lt;=(Parameters!$C$151+Parameters!$C$152), Parameters!$C$57*(1+Parameters!$C$12)^11, 0)</f>
        <v>0</v>
      </c>
      <c r="P31" s="25">
        <f>IF(13&lt;=(Parameters!$C$151+Parameters!$C$152), Parameters!$C$57*(1+Parameters!$C$12)^12, 0)</f>
        <v>0</v>
      </c>
      <c r="Q31" s="25">
        <f>IF(14&lt;=(Parameters!$C$151+Parameters!$C$152), Parameters!$C$57*(1+Parameters!$C$12)^13, 0)</f>
        <v>0</v>
      </c>
      <c r="R31" s="25">
        <f>IF(15&lt;=(Parameters!$C$151+Parameters!$C$152), Parameters!$C$57*(1+Parameters!$C$12)^14, 0)</f>
        <v>0</v>
      </c>
      <c r="S31" s="25">
        <f>IF(16&lt;=(Parameters!$C$151+Parameters!$C$152), Parameters!$C$57*(1+Parameters!$C$12)^15, 0)</f>
        <v>0</v>
      </c>
      <c r="T31" s="25">
        <f>IF(17&lt;=(Parameters!$C$151+Parameters!$C$152), Parameters!$C$57*(1+Parameters!$C$12)^16, 0)</f>
        <v>0</v>
      </c>
      <c r="U31" s="25">
        <f>IF(18&lt;=(Parameters!$C$151+Parameters!$C$152), Parameters!$C$57*(1+Parameters!$C$12)^17, 0)</f>
        <v>0</v>
      </c>
      <c r="V31" s="25">
        <f>IF(19&lt;=(Parameters!$C$151+Parameters!$C$152), Parameters!$C$57*(1+Parameters!$C$12)^18, 0)</f>
        <v>0</v>
      </c>
      <c r="W31" s="25">
        <f>IF(20&lt;=(Parameters!$C$151+Parameters!$C$152), Parameters!$C$57*(1+Parameters!$C$12)^19, 0)</f>
        <v>0</v>
      </c>
      <c r="X31" s="25">
        <f>IF(21&lt;=(Parameters!$C$151+Parameters!$C$152), Parameters!$C$57*(1+Parameters!$C$12)^20, 0)</f>
        <v>0</v>
      </c>
      <c r="Y31" s="25">
        <f>IF(22&lt;=(Parameters!$C$151+Parameters!$C$152), Parameters!$C$57*(1+Parameters!$C$12)^21, 0)</f>
        <v>0</v>
      </c>
      <c r="Z31" s="25">
        <f>IF(23&lt;=(Parameters!$C$151+Parameters!$C$152), Parameters!$C$57*(1+Parameters!$C$12)^22, 0)</f>
        <v>0</v>
      </c>
      <c r="AA31" s="25">
        <f>IF(24&lt;=(Parameters!$C$151+Parameters!$C$152), Parameters!$C$57*(1+Parameters!$C$12)^23, 0)</f>
        <v>0</v>
      </c>
      <c r="AB31" s="25">
        <f>IF(25&lt;=(Parameters!$C$151+Parameters!$C$152), Parameters!$C$57*(1+Parameters!$C$12)^24, 0)</f>
        <v>0</v>
      </c>
      <c r="AC31" s="25">
        <f>IF(26&lt;=(Parameters!$C$151+Parameters!$C$152), Parameters!$C$57*(1+Parameters!$C$12)^25, 0)</f>
        <v>0</v>
      </c>
      <c r="AD31" s="25">
        <f>IF(27&lt;=(Parameters!$C$151+Parameters!$C$152), Parameters!$C$57*(1+Parameters!$C$12)^26, 0)</f>
        <v>0</v>
      </c>
      <c r="AE31" s="25">
        <f>IF(28&lt;=(Parameters!$C$151+Parameters!$C$152), Parameters!$C$57*(1+Parameters!$C$12)^27, 0)</f>
        <v>0</v>
      </c>
      <c r="AF31" s="25">
        <f>IF(29&lt;=(Parameters!$C$151+Parameters!$C$152), Parameters!$C$57*(1+Parameters!$C$12)^28, 0)</f>
        <v>0</v>
      </c>
      <c r="AG31" s="25">
        <f>IF(30&lt;=(Parameters!$C$151+Parameters!$C$152), Parameters!$C$57*(1+Parameters!$C$12)^29, 0)</f>
        <v>0</v>
      </c>
    </row>
    <row r="32" spans="2:33" ht="15" customHeight="1" x14ac:dyDescent="0.2">
      <c r="B32" t="s">
        <v>703</v>
      </c>
      <c r="D32" s="25">
        <f>IF(1&gt;(Parameters!$C$151+Parameters!$C$152), Parameters!$C$57*Parameters!$C$155*(Parameters!$C$94/Parameters!$C$26)*(1+Parameters!$C$12)^0, 0)</f>
        <v>0</v>
      </c>
      <c r="E32" s="25">
        <f>IF(2&gt;(Parameters!$C$151+Parameters!$C$152), Parameters!$C$57*Parameters!$C$155*(Parameters!$C$94/Parameters!$C$26)*(1+Parameters!$C$12)^1, 0)</f>
        <v>0</v>
      </c>
      <c r="F32" s="25">
        <f>IF(3&gt;(Parameters!$C$151+Parameters!$C$152), Parameters!$C$57*Parameters!$C$155*(Parameters!$C$94/Parameters!$C$26)*(1+Parameters!$C$12)^2, 0)</f>
        <v>0</v>
      </c>
      <c r="G32" s="25">
        <f>IF(4&gt;(Parameters!$C$151+Parameters!$C$152), Parameters!$C$57*Parameters!$C$155*(Parameters!$C$94/Parameters!$C$26)*(1+Parameters!$C$12)^3, 0)</f>
        <v>132860.9963380087</v>
      </c>
      <c r="H32" s="25">
        <f>IF(5&gt;(Parameters!$C$151+Parameters!$C$152), Parameters!$C$57*Parameters!$C$155*(Parameters!$C$94/Parameters!$C$26)*(1+Parameters!$C$12)^4, 0)</f>
        <v>132860.9963380087</v>
      </c>
      <c r="I32" s="25">
        <f>IF(6&gt;(Parameters!$C$151+Parameters!$C$152), Parameters!$C$57*Parameters!$C$155*(Parameters!$C$94/Parameters!$C$26)*(1+Parameters!$C$12)^5, 0)</f>
        <v>132860.9963380087</v>
      </c>
      <c r="J32" s="25">
        <f>IF(7&gt;(Parameters!$C$151+Parameters!$C$152), Parameters!$C$57*Parameters!$C$155*(Parameters!$C$94/Parameters!$C$26)*(1+Parameters!$C$12)^6, 0)</f>
        <v>132860.9963380087</v>
      </c>
      <c r="K32" s="25">
        <f>IF(8&gt;(Parameters!$C$151+Parameters!$C$152), Parameters!$C$57*Parameters!$C$155*(Parameters!$C$94/Parameters!$C$26)*(1+Parameters!$C$12)^7, 0)</f>
        <v>132860.9963380087</v>
      </c>
      <c r="L32" s="25">
        <f>IF(9&gt;(Parameters!$C$151+Parameters!$C$152), Parameters!$C$57*Parameters!$C$155*(Parameters!$C$94/Parameters!$C$26)*(1+Parameters!$C$12)^8, 0)</f>
        <v>132860.9963380087</v>
      </c>
      <c r="M32" s="25">
        <f>IF(10&gt;(Parameters!$C$151+Parameters!$C$152), Parameters!$C$57*Parameters!$C$155*(Parameters!$C$94/Parameters!$C$26)*(1+Parameters!$C$12)^9, 0)</f>
        <v>132860.9963380087</v>
      </c>
      <c r="N32" s="25">
        <f>IF(11&gt;(Parameters!$C$151+Parameters!$C$152), Parameters!$C$57*Parameters!$C$155*(Parameters!$C$94/Parameters!$C$26)*(1+Parameters!$C$12)^10, 0)</f>
        <v>132860.9963380087</v>
      </c>
      <c r="O32" s="25">
        <f>IF(12&gt;(Parameters!$C$151+Parameters!$C$152), Parameters!$C$57*Parameters!$C$155*(Parameters!$C$94/Parameters!$C$26)*(1+Parameters!$C$12)^11, 0)</f>
        <v>132860.9963380087</v>
      </c>
      <c r="P32" s="25">
        <f>IF(13&gt;(Parameters!$C$151+Parameters!$C$152), Parameters!$C$57*Parameters!$C$155*(Parameters!$C$94/Parameters!$C$26)*(1+Parameters!$C$12)^12, 0)</f>
        <v>132860.9963380087</v>
      </c>
      <c r="Q32" s="25">
        <f>IF(14&gt;(Parameters!$C$151+Parameters!$C$152), Parameters!$C$57*Parameters!$C$155*(Parameters!$C$94/Parameters!$C$26)*(1+Parameters!$C$12)^13, 0)</f>
        <v>132860.9963380087</v>
      </c>
      <c r="R32" s="25">
        <f>IF(15&gt;(Parameters!$C$151+Parameters!$C$152), Parameters!$C$57*Parameters!$C$155*(Parameters!$C$94/Parameters!$C$26)*(1+Parameters!$C$12)^14, 0)</f>
        <v>132860.9963380087</v>
      </c>
      <c r="S32" s="25">
        <f>IF(16&gt;(Parameters!$C$151+Parameters!$C$152), Parameters!$C$57*Parameters!$C$155*(Parameters!$C$94/Parameters!$C$26)*(1+Parameters!$C$12)^15, 0)</f>
        <v>132860.9963380087</v>
      </c>
      <c r="T32" s="25">
        <f>IF(17&gt;(Parameters!$C$151+Parameters!$C$152), Parameters!$C$57*Parameters!$C$155*(Parameters!$C$94/Parameters!$C$26)*(1+Parameters!$C$12)^16, 0)</f>
        <v>132860.9963380087</v>
      </c>
      <c r="U32" s="25">
        <f>IF(18&gt;(Parameters!$C$151+Parameters!$C$152), Parameters!$C$57*Parameters!$C$155*(Parameters!$C$94/Parameters!$C$26)*(1+Parameters!$C$12)^17, 0)</f>
        <v>132860.9963380087</v>
      </c>
      <c r="V32" s="25">
        <f>IF(19&gt;(Parameters!$C$151+Parameters!$C$152), Parameters!$C$57*Parameters!$C$155*(Parameters!$C$94/Parameters!$C$26)*(1+Parameters!$C$12)^18, 0)</f>
        <v>132860.9963380087</v>
      </c>
      <c r="W32" s="25">
        <f>IF(20&gt;(Parameters!$C$151+Parameters!$C$152), Parameters!$C$57*Parameters!$C$155*(Parameters!$C$94/Parameters!$C$26)*(1+Parameters!$C$12)^19, 0)</f>
        <v>132860.9963380087</v>
      </c>
      <c r="X32" s="25">
        <f>IF(21&gt;(Parameters!$C$151+Parameters!$C$152), Parameters!$C$57*Parameters!$C$155*(Parameters!$C$94/Parameters!$C$26)*(1+Parameters!$C$12)^20, 0)</f>
        <v>132860.9963380087</v>
      </c>
      <c r="Y32" s="25">
        <f>IF(22&gt;(Parameters!$C$151+Parameters!$C$152), Parameters!$C$57*Parameters!$C$155*(Parameters!$C$94/Parameters!$C$26)*(1+Parameters!$C$12)^21, 0)</f>
        <v>132860.9963380087</v>
      </c>
      <c r="Z32" s="25">
        <f>IF(23&gt;(Parameters!$C$151+Parameters!$C$152), Parameters!$C$57*Parameters!$C$155*(Parameters!$C$94/Parameters!$C$26)*(1+Parameters!$C$12)^22, 0)</f>
        <v>132860.9963380087</v>
      </c>
      <c r="AA32" s="25">
        <f>IF(24&gt;(Parameters!$C$151+Parameters!$C$152), Parameters!$C$57*Parameters!$C$155*(Parameters!$C$94/Parameters!$C$26)*(1+Parameters!$C$12)^23, 0)</f>
        <v>132860.9963380087</v>
      </c>
      <c r="AB32" s="25">
        <f>IF(25&gt;(Parameters!$C$151+Parameters!$C$152), Parameters!$C$57*Parameters!$C$155*(Parameters!$C$94/Parameters!$C$26)*(1+Parameters!$C$12)^24, 0)</f>
        <v>132860.9963380087</v>
      </c>
      <c r="AC32" s="25">
        <f>IF(26&gt;(Parameters!$C$151+Parameters!$C$152), Parameters!$C$57*Parameters!$C$155*(Parameters!$C$94/Parameters!$C$26)*(1+Parameters!$C$12)^25, 0)</f>
        <v>132860.9963380087</v>
      </c>
      <c r="AD32" s="25">
        <f>IF(27&gt;(Parameters!$C$151+Parameters!$C$152), Parameters!$C$57*Parameters!$C$155*(Parameters!$C$94/Parameters!$C$26)*(1+Parameters!$C$12)^26, 0)</f>
        <v>132860.9963380087</v>
      </c>
      <c r="AE32" s="25">
        <f>IF(28&gt;(Parameters!$C$151+Parameters!$C$152), Parameters!$C$57*Parameters!$C$155*(Parameters!$C$94/Parameters!$C$26)*(1+Parameters!$C$12)^27, 0)</f>
        <v>132860.9963380087</v>
      </c>
      <c r="AF32" s="25">
        <f>IF(29&gt;(Parameters!$C$151+Parameters!$C$152), Parameters!$C$57*Parameters!$C$155*(Parameters!$C$94/Parameters!$C$26)*(1+Parameters!$C$12)^28, 0)</f>
        <v>132860.9963380087</v>
      </c>
      <c r="AG32" s="25">
        <f>IF(30&gt;(Parameters!$C$151+Parameters!$C$152), Parameters!$C$57*Parameters!$C$155*(Parameters!$C$94/Parameters!$C$26)*(1+Parameters!$C$12)^29, 0)</f>
        <v>132860.9963380087</v>
      </c>
    </row>
    <row r="33" spans="2:33" ht="15" customHeight="1" x14ac:dyDescent="0.2">
      <c r="B33" t="s">
        <v>704</v>
      </c>
      <c r="D33" s="25">
        <f>IF(1&lt;=Parameters!$C$151, Parameters!$C$64*(1+Parameters!$C$12)^0, 0)</f>
        <v>131239</v>
      </c>
      <c r="E33" s="25">
        <f>IF(2&lt;=Parameters!$C$151, Parameters!$C$64*(1+Parameters!$C$12)^1, 0)</f>
        <v>131239</v>
      </c>
      <c r="F33" s="25">
        <f>IF(3&lt;=Parameters!$C$151, Parameters!$C$64*(1+Parameters!$C$12)^2, 0)</f>
        <v>0</v>
      </c>
      <c r="G33" s="25">
        <f>IF(4&lt;=Parameters!$C$151, Parameters!$C$64*(1+Parameters!$C$12)^3, 0)</f>
        <v>0</v>
      </c>
      <c r="H33" s="25">
        <f>IF(5&lt;=Parameters!$C$151, Parameters!$C$64*(1+Parameters!$C$12)^4, 0)</f>
        <v>0</v>
      </c>
      <c r="I33" s="25">
        <f>IF(6&lt;=Parameters!$C$151, Parameters!$C$64*(1+Parameters!$C$12)^5, 0)</f>
        <v>0</v>
      </c>
      <c r="J33" s="25">
        <f>IF(7&lt;=Parameters!$C$151, Parameters!$C$64*(1+Parameters!$C$12)^6, 0)</f>
        <v>0</v>
      </c>
      <c r="K33" s="25">
        <f>IF(8&lt;=Parameters!$C$151, Parameters!$C$64*(1+Parameters!$C$12)^7, 0)</f>
        <v>0</v>
      </c>
      <c r="L33" s="25">
        <f>IF(9&lt;=Parameters!$C$151, Parameters!$C$64*(1+Parameters!$C$12)^8, 0)</f>
        <v>0</v>
      </c>
      <c r="M33" s="25">
        <f>IF(10&lt;=Parameters!$C$151, Parameters!$C$64*(1+Parameters!$C$12)^9, 0)</f>
        <v>0</v>
      </c>
      <c r="N33" s="25">
        <f>IF(11&lt;=Parameters!$C$151, Parameters!$C$64*(1+Parameters!$C$12)^10, 0)</f>
        <v>0</v>
      </c>
      <c r="O33" s="25">
        <f>IF(12&lt;=Parameters!$C$151, Parameters!$C$64*(1+Parameters!$C$12)^11, 0)</f>
        <v>0</v>
      </c>
      <c r="P33" s="25">
        <f>IF(13&lt;=Parameters!$C$151, Parameters!$C$64*(1+Parameters!$C$12)^12, 0)</f>
        <v>0</v>
      </c>
      <c r="Q33" s="25">
        <f>IF(14&lt;=Parameters!$C$151, Parameters!$C$64*(1+Parameters!$C$12)^13, 0)</f>
        <v>0</v>
      </c>
      <c r="R33" s="25">
        <f>IF(15&lt;=Parameters!$C$151, Parameters!$C$64*(1+Parameters!$C$12)^14, 0)</f>
        <v>0</v>
      </c>
      <c r="S33" s="25">
        <f>IF(16&lt;=Parameters!$C$151, Parameters!$C$64*(1+Parameters!$C$12)^15, 0)</f>
        <v>0</v>
      </c>
      <c r="T33" s="25">
        <f>IF(17&lt;=Parameters!$C$151, Parameters!$C$64*(1+Parameters!$C$12)^16, 0)</f>
        <v>0</v>
      </c>
      <c r="U33" s="25">
        <f>IF(18&lt;=Parameters!$C$151, Parameters!$C$64*(1+Parameters!$C$12)^17, 0)</f>
        <v>0</v>
      </c>
      <c r="V33" s="25">
        <f>IF(19&lt;=Parameters!$C$151, Parameters!$C$64*(1+Parameters!$C$12)^18, 0)</f>
        <v>0</v>
      </c>
      <c r="W33" s="25">
        <f>IF(20&lt;=Parameters!$C$151, Parameters!$C$64*(1+Parameters!$C$12)^19, 0)</f>
        <v>0</v>
      </c>
      <c r="X33" s="25">
        <f>IF(21&lt;=Parameters!$C$151, Parameters!$C$64*(1+Parameters!$C$12)^20, 0)</f>
        <v>0</v>
      </c>
      <c r="Y33" s="25">
        <f>IF(22&lt;=Parameters!$C$151, Parameters!$C$64*(1+Parameters!$C$12)^21, 0)</f>
        <v>0</v>
      </c>
      <c r="Z33" s="25">
        <f>IF(23&lt;=Parameters!$C$151, Parameters!$C$64*(1+Parameters!$C$12)^22, 0)</f>
        <v>0</v>
      </c>
      <c r="AA33" s="25">
        <f>IF(24&lt;=Parameters!$C$151, Parameters!$C$64*(1+Parameters!$C$12)^23, 0)</f>
        <v>0</v>
      </c>
      <c r="AB33" s="25">
        <f>IF(25&lt;=Parameters!$C$151, Parameters!$C$64*(1+Parameters!$C$12)^24, 0)</f>
        <v>0</v>
      </c>
      <c r="AC33" s="25">
        <f>IF(26&lt;=Parameters!$C$151, Parameters!$C$64*(1+Parameters!$C$12)^25, 0)</f>
        <v>0</v>
      </c>
      <c r="AD33" s="25">
        <f>IF(27&lt;=Parameters!$C$151, Parameters!$C$64*(1+Parameters!$C$12)^26, 0)</f>
        <v>0</v>
      </c>
      <c r="AE33" s="25">
        <f>IF(28&lt;=Parameters!$C$151, Parameters!$C$64*(1+Parameters!$C$12)^27, 0)</f>
        <v>0</v>
      </c>
      <c r="AF33" s="25">
        <f>IF(29&lt;=Parameters!$C$151, Parameters!$C$64*(1+Parameters!$C$12)^28, 0)</f>
        <v>0</v>
      </c>
      <c r="AG33" s="25">
        <f>IF(30&lt;=Parameters!$C$151, Parameters!$C$64*(1+Parameters!$C$12)^29, 0)</f>
        <v>0</v>
      </c>
    </row>
    <row r="34" spans="2:33" ht="15" customHeight="1" x14ac:dyDescent="0.2">
      <c r="B34" t="s">
        <v>705</v>
      </c>
      <c r="D34" s="25">
        <f>IF(1&gt;Parameters!$C$151, Parameters!$C$117*Parameters!$C$154*(1+Parameters!$C$12)^0, 0)</f>
        <v>0</v>
      </c>
      <c r="E34" s="25">
        <f>IF(2&gt;Parameters!$C$151, Parameters!$C$117*Parameters!$C$154*(1+Parameters!$C$12)^1, 0)</f>
        <v>0</v>
      </c>
      <c r="F34" s="25">
        <f>IF(3&gt;Parameters!$C$151, Parameters!$C$117*Parameters!$C$154*(1+Parameters!$C$12)^2, 0)</f>
        <v>341869</v>
      </c>
      <c r="G34" s="25">
        <f>IF(4&gt;Parameters!$C$151, Parameters!$C$117*Parameters!$C$154*(1+Parameters!$C$12)^3, 0)</f>
        <v>341869</v>
      </c>
      <c r="H34" s="25">
        <f>IF(5&gt;Parameters!$C$151, Parameters!$C$117*Parameters!$C$154*(1+Parameters!$C$12)^4, 0)</f>
        <v>341869</v>
      </c>
      <c r="I34" s="25">
        <f>IF(6&gt;Parameters!$C$151, Parameters!$C$117*Parameters!$C$154*(1+Parameters!$C$12)^5, 0)</f>
        <v>341869</v>
      </c>
      <c r="J34" s="25">
        <f>IF(7&gt;Parameters!$C$151, Parameters!$C$117*Parameters!$C$154*(1+Parameters!$C$12)^6, 0)</f>
        <v>341869</v>
      </c>
      <c r="K34" s="25">
        <f>IF(8&gt;Parameters!$C$151, Parameters!$C$117*Parameters!$C$154*(1+Parameters!$C$12)^7, 0)</f>
        <v>341869</v>
      </c>
      <c r="L34" s="25">
        <f>IF(9&gt;Parameters!$C$151, Parameters!$C$117*Parameters!$C$154*(1+Parameters!$C$12)^8, 0)</f>
        <v>341869</v>
      </c>
      <c r="M34" s="25">
        <f>IF(10&gt;Parameters!$C$151, Parameters!$C$117*Parameters!$C$154*(1+Parameters!$C$12)^9, 0)</f>
        <v>341869</v>
      </c>
      <c r="N34" s="25">
        <f>IF(11&gt;Parameters!$C$151, Parameters!$C$117*Parameters!$C$154*(1+Parameters!$C$12)^10, 0)</f>
        <v>341869</v>
      </c>
      <c r="O34" s="25">
        <f>IF(12&gt;Parameters!$C$151, Parameters!$C$117*Parameters!$C$154*(1+Parameters!$C$12)^11, 0)</f>
        <v>341869</v>
      </c>
      <c r="P34" s="25">
        <f>IF(13&gt;Parameters!$C$151, Parameters!$C$117*Parameters!$C$154*(1+Parameters!$C$12)^12, 0)</f>
        <v>341869</v>
      </c>
      <c r="Q34" s="25">
        <f>IF(14&gt;Parameters!$C$151, Parameters!$C$117*Parameters!$C$154*(1+Parameters!$C$12)^13, 0)</f>
        <v>341869</v>
      </c>
      <c r="R34" s="25">
        <f>IF(15&gt;Parameters!$C$151, Parameters!$C$117*Parameters!$C$154*(1+Parameters!$C$12)^14, 0)</f>
        <v>341869</v>
      </c>
      <c r="S34" s="25">
        <f>IF(16&gt;Parameters!$C$151, Parameters!$C$117*Parameters!$C$154*(1+Parameters!$C$12)^15, 0)</f>
        <v>341869</v>
      </c>
      <c r="T34" s="25">
        <f>IF(17&gt;Parameters!$C$151, Parameters!$C$117*Parameters!$C$154*(1+Parameters!$C$12)^16, 0)</f>
        <v>341869</v>
      </c>
      <c r="U34" s="25">
        <f>IF(18&gt;Parameters!$C$151, Parameters!$C$117*Parameters!$C$154*(1+Parameters!$C$12)^17, 0)</f>
        <v>341869</v>
      </c>
      <c r="V34" s="25">
        <f>IF(19&gt;Parameters!$C$151, Parameters!$C$117*Parameters!$C$154*(1+Parameters!$C$12)^18, 0)</f>
        <v>341869</v>
      </c>
      <c r="W34" s="25">
        <f>IF(20&gt;Parameters!$C$151, Parameters!$C$117*Parameters!$C$154*(1+Parameters!$C$12)^19, 0)</f>
        <v>341869</v>
      </c>
      <c r="X34" s="25">
        <f>IF(21&gt;Parameters!$C$151, Parameters!$C$117*Parameters!$C$154*(1+Parameters!$C$12)^20, 0)</f>
        <v>341869</v>
      </c>
      <c r="Y34" s="25">
        <f>IF(22&gt;Parameters!$C$151, Parameters!$C$117*Parameters!$C$154*(1+Parameters!$C$12)^21, 0)</f>
        <v>341869</v>
      </c>
      <c r="Z34" s="25">
        <f>IF(23&gt;Parameters!$C$151, Parameters!$C$117*Parameters!$C$154*(1+Parameters!$C$12)^22, 0)</f>
        <v>341869</v>
      </c>
      <c r="AA34" s="25">
        <f>IF(24&gt;Parameters!$C$151, Parameters!$C$117*Parameters!$C$154*(1+Parameters!$C$12)^23, 0)</f>
        <v>341869</v>
      </c>
      <c r="AB34" s="25">
        <f>IF(25&gt;Parameters!$C$151, Parameters!$C$117*Parameters!$C$154*(1+Parameters!$C$12)^24, 0)</f>
        <v>341869</v>
      </c>
      <c r="AC34" s="25">
        <f>IF(26&gt;Parameters!$C$151, Parameters!$C$117*Parameters!$C$154*(1+Parameters!$C$12)^25, 0)</f>
        <v>341869</v>
      </c>
      <c r="AD34" s="25">
        <f>IF(27&gt;Parameters!$C$151, Parameters!$C$117*Parameters!$C$154*(1+Parameters!$C$12)^26, 0)</f>
        <v>341869</v>
      </c>
      <c r="AE34" s="25">
        <f>IF(28&gt;Parameters!$C$151, Parameters!$C$117*Parameters!$C$154*(1+Parameters!$C$12)^27, 0)</f>
        <v>341869</v>
      </c>
      <c r="AF34" s="25">
        <f>IF(29&gt;Parameters!$C$151, Parameters!$C$117*Parameters!$C$154*(1+Parameters!$C$12)^28, 0)</f>
        <v>341869</v>
      </c>
      <c r="AG34" s="25">
        <f>IF(30&gt;Parameters!$C$151, Parameters!$C$117*Parameters!$C$154*(1+Parameters!$C$12)^29, 0)</f>
        <v>341869</v>
      </c>
    </row>
    <row r="35" spans="2:33" ht="15" customHeight="1" x14ac:dyDescent="0.2">
      <c r="B35" t="s">
        <v>706</v>
      </c>
      <c r="D35" s="25">
        <f>IF(1&gt;Parameters!$C$151, Parameters!$C$147*(1+Parameters!$C$12)^0, 0)</f>
        <v>0</v>
      </c>
      <c r="E35" s="25">
        <f>IF(2&gt;Parameters!$C$151, Parameters!$C$147*(1+Parameters!$C$12)^1, 0)</f>
        <v>0</v>
      </c>
      <c r="F35" s="25">
        <f>IF(3&gt;Parameters!$C$151, Parameters!$C$147*(1+Parameters!$C$12)^2, 0)</f>
        <v>35000</v>
      </c>
      <c r="G35" s="25">
        <f>IF(4&gt;Parameters!$C$151, Parameters!$C$147*(1+Parameters!$C$12)^3, 0)</f>
        <v>35000</v>
      </c>
      <c r="H35" s="25">
        <f>IF(5&gt;Parameters!$C$151, Parameters!$C$147*(1+Parameters!$C$12)^4, 0)</f>
        <v>35000</v>
      </c>
      <c r="I35" s="25">
        <f>IF(6&gt;Parameters!$C$151, Parameters!$C$147*(1+Parameters!$C$12)^5, 0)</f>
        <v>35000</v>
      </c>
      <c r="J35" s="25">
        <f>IF(7&gt;Parameters!$C$151, Parameters!$C$147*(1+Parameters!$C$12)^6, 0)</f>
        <v>35000</v>
      </c>
      <c r="K35" s="25">
        <f>IF(8&gt;Parameters!$C$151, Parameters!$C$147*(1+Parameters!$C$12)^7, 0)</f>
        <v>35000</v>
      </c>
      <c r="L35" s="25">
        <f>IF(9&gt;Parameters!$C$151, Parameters!$C$147*(1+Parameters!$C$12)^8, 0)</f>
        <v>35000</v>
      </c>
      <c r="M35" s="25">
        <f>IF(10&gt;Parameters!$C$151, Parameters!$C$147*(1+Parameters!$C$12)^9, 0)</f>
        <v>35000</v>
      </c>
      <c r="N35" s="25">
        <f>IF(11&gt;Parameters!$C$151, Parameters!$C$147*(1+Parameters!$C$12)^10, 0)</f>
        <v>35000</v>
      </c>
      <c r="O35" s="25">
        <f>IF(12&gt;Parameters!$C$151, Parameters!$C$147*(1+Parameters!$C$12)^11, 0)</f>
        <v>35000</v>
      </c>
      <c r="P35" s="25">
        <f>IF(13&gt;Parameters!$C$151, Parameters!$C$147*(1+Parameters!$C$12)^12, 0)</f>
        <v>35000</v>
      </c>
      <c r="Q35" s="25">
        <f>IF(14&gt;Parameters!$C$151, Parameters!$C$147*(1+Parameters!$C$12)^13, 0)</f>
        <v>35000</v>
      </c>
      <c r="R35" s="25">
        <f>IF(15&gt;Parameters!$C$151, Parameters!$C$147*(1+Parameters!$C$12)^14, 0)</f>
        <v>35000</v>
      </c>
      <c r="S35" s="25">
        <f>IF(16&gt;Parameters!$C$151, Parameters!$C$147*(1+Parameters!$C$12)^15, 0)</f>
        <v>35000</v>
      </c>
      <c r="T35" s="25">
        <f>IF(17&gt;Parameters!$C$151, Parameters!$C$147*(1+Parameters!$C$12)^16, 0)</f>
        <v>35000</v>
      </c>
      <c r="U35" s="25">
        <f>IF(18&gt;Parameters!$C$151, Parameters!$C$147*(1+Parameters!$C$12)^17, 0)</f>
        <v>35000</v>
      </c>
      <c r="V35" s="25">
        <f>IF(19&gt;Parameters!$C$151, Parameters!$C$147*(1+Parameters!$C$12)^18, 0)</f>
        <v>35000</v>
      </c>
      <c r="W35" s="25">
        <f>IF(20&gt;Parameters!$C$151, Parameters!$C$147*(1+Parameters!$C$12)^19, 0)</f>
        <v>35000</v>
      </c>
      <c r="X35" s="25">
        <f>IF(21&gt;Parameters!$C$151, Parameters!$C$147*(1+Parameters!$C$12)^20, 0)</f>
        <v>35000</v>
      </c>
      <c r="Y35" s="25">
        <f>IF(22&gt;Parameters!$C$151, Parameters!$C$147*(1+Parameters!$C$12)^21, 0)</f>
        <v>35000</v>
      </c>
      <c r="Z35" s="25">
        <f>IF(23&gt;Parameters!$C$151, Parameters!$C$147*(1+Parameters!$C$12)^22, 0)</f>
        <v>35000</v>
      </c>
      <c r="AA35" s="25">
        <f>IF(24&gt;Parameters!$C$151, Parameters!$C$147*(1+Parameters!$C$12)^23, 0)</f>
        <v>35000</v>
      </c>
      <c r="AB35" s="25">
        <f>IF(25&gt;Parameters!$C$151, Parameters!$C$147*(1+Parameters!$C$12)^24, 0)</f>
        <v>35000</v>
      </c>
      <c r="AC35" s="25">
        <f>IF(26&gt;Parameters!$C$151, Parameters!$C$147*(1+Parameters!$C$12)^25, 0)</f>
        <v>35000</v>
      </c>
      <c r="AD35" s="25">
        <f>IF(27&gt;Parameters!$C$151, Parameters!$C$147*(1+Parameters!$C$12)^26, 0)</f>
        <v>35000</v>
      </c>
      <c r="AE35" s="25">
        <f>IF(28&gt;Parameters!$C$151, Parameters!$C$147*(1+Parameters!$C$12)^27, 0)</f>
        <v>35000</v>
      </c>
      <c r="AF35" s="25">
        <f>IF(29&gt;Parameters!$C$151, Parameters!$C$147*(1+Parameters!$C$12)^28, 0)</f>
        <v>35000</v>
      </c>
      <c r="AG35" s="25">
        <f>IF(30&gt;Parameters!$C$151, Parameters!$C$147*(1+Parameters!$C$12)^29, 0)</f>
        <v>35000</v>
      </c>
    </row>
    <row r="36" spans="2:33" ht="15" customHeight="1" x14ac:dyDescent="0.2">
      <c r="B36" t="s">
        <v>707</v>
      </c>
      <c r="D36" s="25">
        <f>IF(1&gt;(Parameters!$C$151+Parameters!$C$152), -Parameters!$C$148*(1+Parameters!$C$12)^0, 0)</f>
        <v>0</v>
      </c>
      <c r="E36" s="25">
        <f>IF(2&gt;(Parameters!$C$151+Parameters!$C$152), -Parameters!$C$148*(1+Parameters!$C$12)^1, 0)</f>
        <v>0</v>
      </c>
      <c r="F36" s="25">
        <f>IF(3&gt;(Parameters!$C$151+Parameters!$C$152), -Parameters!$C$148*(1+Parameters!$C$12)^2, 0)</f>
        <v>0</v>
      </c>
      <c r="G36" s="25">
        <f>IF(4&gt;(Parameters!$C$151+Parameters!$C$152), -Parameters!$C$148*(1+Parameters!$C$12)^3, 0)</f>
        <v>-5000</v>
      </c>
      <c r="H36" s="25">
        <f>IF(5&gt;(Parameters!$C$151+Parameters!$C$152), -Parameters!$C$148*(1+Parameters!$C$12)^4, 0)</f>
        <v>-5000</v>
      </c>
      <c r="I36" s="25">
        <f>IF(6&gt;(Parameters!$C$151+Parameters!$C$152), -Parameters!$C$148*(1+Parameters!$C$12)^5, 0)</f>
        <v>-5000</v>
      </c>
      <c r="J36" s="25">
        <f>IF(7&gt;(Parameters!$C$151+Parameters!$C$152), -Parameters!$C$148*(1+Parameters!$C$12)^6, 0)</f>
        <v>-5000</v>
      </c>
      <c r="K36" s="25">
        <f>IF(8&gt;(Parameters!$C$151+Parameters!$C$152), -Parameters!$C$148*(1+Parameters!$C$12)^7, 0)</f>
        <v>-5000</v>
      </c>
      <c r="L36" s="25">
        <f>IF(9&gt;(Parameters!$C$151+Parameters!$C$152), -Parameters!$C$148*(1+Parameters!$C$12)^8, 0)</f>
        <v>-5000</v>
      </c>
      <c r="M36" s="25">
        <f>IF(10&gt;(Parameters!$C$151+Parameters!$C$152), -Parameters!$C$148*(1+Parameters!$C$12)^9, 0)</f>
        <v>-5000</v>
      </c>
      <c r="N36" s="25">
        <f>IF(11&gt;(Parameters!$C$151+Parameters!$C$152), -Parameters!$C$148*(1+Parameters!$C$12)^10, 0)</f>
        <v>-5000</v>
      </c>
      <c r="O36" s="25">
        <f>IF(12&gt;(Parameters!$C$151+Parameters!$C$152), -Parameters!$C$148*(1+Parameters!$C$12)^11, 0)</f>
        <v>-5000</v>
      </c>
      <c r="P36" s="25">
        <f>IF(13&gt;(Parameters!$C$151+Parameters!$C$152), -Parameters!$C$148*(1+Parameters!$C$12)^12, 0)</f>
        <v>-5000</v>
      </c>
      <c r="Q36" s="25">
        <f>IF(14&gt;(Parameters!$C$151+Parameters!$C$152), -Parameters!$C$148*(1+Parameters!$C$12)^13, 0)</f>
        <v>-5000</v>
      </c>
      <c r="R36" s="25">
        <f>IF(15&gt;(Parameters!$C$151+Parameters!$C$152), -Parameters!$C$148*(1+Parameters!$C$12)^14, 0)</f>
        <v>-5000</v>
      </c>
      <c r="S36" s="25">
        <f>IF(16&gt;(Parameters!$C$151+Parameters!$C$152), -Parameters!$C$148*(1+Parameters!$C$12)^15, 0)</f>
        <v>-5000</v>
      </c>
      <c r="T36" s="25">
        <f>IF(17&gt;(Parameters!$C$151+Parameters!$C$152), -Parameters!$C$148*(1+Parameters!$C$12)^16, 0)</f>
        <v>-5000</v>
      </c>
      <c r="U36" s="25">
        <f>IF(18&gt;(Parameters!$C$151+Parameters!$C$152), -Parameters!$C$148*(1+Parameters!$C$12)^17, 0)</f>
        <v>-5000</v>
      </c>
      <c r="V36" s="25">
        <f>IF(19&gt;(Parameters!$C$151+Parameters!$C$152), -Parameters!$C$148*(1+Parameters!$C$12)^18, 0)</f>
        <v>-5000</v>
      </c>
      <c r="W36" s="25">
        <f>IF(20&gt;(Parameters!$C$151+Parameters!$C$152), -Parameters!$C$148*(1+Parameters!$C$12)^19, 0)</f>
        <v>-5000</v>
      </c>
      <c r="X36" s="25">
        <f>IF(21&gt;(Parameters!$C$151+Parameters!$C$152), -Parameters!$C$148*(1+Parameters!$C$12)^20, 0)</f>
        <v>-5000</v>
      </c>
      <c r="Y36" s="25">
        <f>IF(22&gt;(Parameters!$C$151+Parameters!$C$152), -Parameters!$C$148*(1+Parameters!$C$12)^21, 0)</f>
        <v>-5000</v>
      </c>
      <c r="Z36" s="25">
        <f>IF(23&gt;(Parameters!$C$151+Parameters!$C$152), -Parameters!$C$148*(1+Parameters!$C$12)^22, 0)</f>
        <v>-5000</v>
      </c>
      <c r="AA36" s="25">
        <f>IF(24&gt;(Parameters!$C$151+Parameters!$C$152), -Parameters!$C$148*(1+Parameters!$C$12)^23, 0)</f>
        <v>-5000</v>
      </c>
      <c r="AB36" s="25">
        <f>IF(25&gt;(Parameters!$C$151+Parameters!$C$152), -Parameters!$C$148*(1+Parameters!$C$12)^24, 0)</f>
        <v>-5000</v>
      </c>
      <c r="AC36" s="25">
        <f>IF(26&gt;(Parameters!$C$151+Parameters!$C$152), -Parameters!$C$148*(1+Parameters!$C$12)^25, 0)</f>
        <v>-5000</v>
      </c>
      <c r="AD36" s="25">
        <f>IF(27&gt;(Parameters!$C$151+Parameters!$C$152), -Parameters!$C$148*(1+Parameters!$C$12)^26, 0)</f>
        <v>-5000</v>
      </c>
      <c r="AE36" s="25">
        <f>IF(28&gt;(Parameters!$C$151+Parameters!$C$152), -Parameters!$C$148*(1+Parameters!$C$12)^27, 0)</f>
        <v>-5000</v>
      </c>
      <c r="AF36" s="25">
        <f>IF(29&gt;(Parameters!$C$151+Parameters!$C$152), -Parameters!$C$148*(1+Parameters!$C$12)^28, 0)</f>
        <v>-5000</v>
      </c>
      <c r="AG36" s="25">
        <f>IF(30&gt;(Parameters!$C$151+Parameters!$C$152), -Parameters!$C$148*(1+Parameters!$C$12)^29, 0)</f>
        <v>-5000</v>
      </c>
    </row>
    <row r="37" spans="2:33" ht="15" customHeight="1" x14ac:dyDescent="0.2">
      <c r="B37" t="s">
        <v>684</v>
      </c>
      <c r="D37" s="25">
        <f>Parameters!$C$131+Parameters!$C$142*Parameters!$C$151</f>
        <v>60000</v>
      </c>
      <c r="E37" s="81">
        <v>0</v>
      </c>
      <c r="F37" s="81">
        <v>0</v>
      </c>
      <c r="G37" s="81">
        <v>0</v>
      </c>
      <c r="H37" s="81">
        <v>0</v>
      </c>
      <c r="I37" s="81">
        <v>0</v>
      </c>
      <c r="J37" s="81">
        <v>0</v>
      </c>
      <c r="K37" s="81">
        <v>0</v>
      </c>
      <c r="L37" s="81">
        <v>0</v>
      </c>
      <c r="M37" s="81">
        <v>0</v>
      </c>
      <c r="N37" s="81">
        <v>0</v>
      </c>
      <c r="O37" s="81">
        <v>0</v>
      </c>
      <c r="P37" s="81">
        <v>0</v>
      </c>
      <c r="Q37" s="81">
        <v>0</v>
      </c>
      <c r="R37" s="81">
        <v>0</v>
      </c>
      <c r="S37" s="81">
        <v>0</v>
      </c>
      <c r="T37" s="81">
        <v>0</v>
      </c>
      <c r="U37" s="81">
        <v>0</v>
      </c>
      <c r="V37" s="81">
        <v>0</v>
      </c>
      <c r="W37" s="81">
        <v>0</v>
      </c>
      <c r="X37" s="81">
        <v>0</v>
      </c>
      <c r="Y37" s="81">
        <v>0</v>
      </c>
      <c r="Z37" s="81">
        <v>0</v>
      </c>
      <c r="AA37" s="81">
        <v>0</v>
      </c>
      <c r="AB37" s="81">
        <v>0</v>
      </c>
      <c r="AC37" s="81">
        <v>0</v>
      </c>
      <c r="AD37" s="81">
        <v>0</v>
      </c>
      <c r="AE37" s="81">
        <v>0</v>
      </c>
      <c r="AF37" s="81">
        <v>0</v>
      </c>
      <c r="AG37" s="81">
        <v>0</v>
      </c>
    </row>
    <row r="38" spans="2:33" ht="15" customHeight="1" x14ac:dyDescent="0.2">
      <c r="B38" s="63" t="s">
        <v>685</v>
      </c>
      <c r="C38" s="63"/>
      <c r="D38" s="64">
        <f t="shared" ref="D38:AG38" si="0">D30+D31+D32+D33+D34+D35+D36+D37</f>
        <v>2992972.5503990822</v>
      </c>
      <c r="E38" s="64">
        <f t="shared" si="0"/>
        <v>2932972.5503990822</v>
      </c>
      <c r="F38" s="64">
        <f t="shared" si="0"/>
        <v>3178602.5503990822</v>
      </c>
      <c r="G38" s="64">
        <f t="shared" si="0"/>
        <v>3204963.5467370912</v>
      </c>
      <c r="H38" s="64">
        <f t="shared" si="0"/>
        <v>3204963.5467370912</v>
      </c>
      <c r="I38" s="64">
        <f t="shared" si="0"/>
        <v>3204963.5467370912</v>
      </c>
      <c r="J38" s="64">
        <f t="shared" si="0"/>
        <v>3204963.5467370912</v>
      </c>
      <c r="K38" s="64">
        <f t="shared" si="0"/>
        <v>3204963.5467370912</v>
      </c>
      <c r="L38" s="64">
        <f t="shared" si="0"/>
        <v>3204963.5467370912</v>
      </c>
      <c r="M38" s="64">
        <f t="shared" si="0"/>
        <v>3204963.5467370912</v>
      </c>
      <c r="N38" s="64">
        <f t="shared" si="0"/>
        <v>3204963.5467370912</v>
      </c>
      <c r="O38" s="64">
        <f t="shared" si="0"/>
        <v>3204963.5467370912</v>
      </c>
      <c r="P38" s="64">
        <f t="shared" si="0"/>
        <v>3204963.5467370912</v>
      </c>
      <c r="Q38" s="64">
        <f t="shared" si="0"/>
        <v>3204963.5467370912</v>
      </c>
      <c r="R38" s="64">
        <f t="shared" si="0"/>
        <v>3204963.5467370912</v>
      </c>
      <c r="S38" s="64">
        <f t="shared" si="0"/>
        <v>3204963.5467370912</v>
      </c>
      <c r="T38" s="64">
        <f t="shared" si="0"/>
        <v>3204963.5467370912</v>
      </c>
      <c r="U38" s="64">
        <f t="shared" si="0"/>
        <v>3204963.5467370912</v>
      </c>
      <c r="V38" s="64">
        <f t="shared" si="0"/>
        <v>3204963.5467370912</v>
      </c>
      <c r="W38" s="64">
        <f t="shared" si="0"/>
        <v>3204963.5467370912</v>
      </c>
      <c r="X38" s="64">
        <f t="shared" si="0"/>
        <v>3204963.5467370912</v>
      </c>
      <c r="Y38" s="64">
        <f t="shared" si="0"/>
        <v>3204963.5467370912</v>
      </c>
      <c r="Z38" s="64">
        <f t="shared" si="0"/>
        <v>3204963.5467370912</v>
      </c>
      <c r="AA38" s="64">
        <f t="shared" si="0"/>
        <v>3204963.5467370912</v>
      </c>
      <c r="AB38" s="64">
        <f t="shared" si="0"/>
        <v>3204963.5467370912</v>
      </c>
      <c r="AC38" s="64">
        <f t="shared" si="0"/>
        <v>3204963.5467370912</v>
      </c>
      <c r="AD38" s="64">
        <f t="shared" si="0"/>
        <v>3204963.5467370912</v>
      </c>
      <c r="AE38" s="64">
        <f t="shared" si="0"/>
        <v>3204963.5467370912</v>
      </c>
      <c r="AF38" s="64">
        <f t="shared" si="0"/>
        <v>3204963.5467370912</v>
      </c>
      <c r="AG38" s="64">
        <f t="shared" si="0"/>
        <v>3204963.5467370912</v>
      </c>
    </row>
    <row r="39" spans="2:33" ht="15" customHeight="1" x14ac:dyDescent="0.2">
      <c r="B39" t="s">
        <v>686</v>
      </c>
      <c r="D39" s="22">
        <f>-Benefits!D33</f>
        <v>0</v>
      </c>
      <c r="E39" s="22">
        <f>-Benefits!E33</f>
        <v>0</v>
      </c>
      <c r="F39" s="22">
        <f>-Benefits!F33</f>
        <v>0</v>
      </c>
      <c r="G39" s="22">
        <f>-Benefits!G33</f>
        <v>-362777.77777777775</v>
      </c>
      <c r="H39" s="22">
        <f>-Benefits!H33</f>
        <v>-362777.77777777775</v>
      </c>
      <c r="I39" s="22">
        <f>-Benefits!I33</f>
        <v>-362777.77777777775</v>
      </c>
      <c r="J39" s="22">
        <f>-Benefits!J33</f>
        <v>-362777.77777777775</v>
      </c>
      <c r="K39" s="22">
        <f>-Benefits!K33</f>
        <v>-362777.77777777775</v>
      </c>
      <c r="L39" s="22">
        <f>-Benefits!L33</f>
        <v>-362777.77777777775</v>
      </c>
      <c r="M39" s="22">
        <f>-Benefits!M33</f>
        <v>-362777.77777777775</v>
      </c>
      <c r="N39" s="22">
        <f>-Benefits!N33</f>
        <v>-362777.77777777775</v>
      </c>
      <c r="O39" s="22">
        <f>-Benefits!O33</f>
        <v>-362777.77777777775</v>
      </c>
      <c r="P39" s="22">
        <f>-Benefits!P33</f>
        <v>-362777.77777777775</v>
      </c>
      <c r="Q39" s="22">
        <f>-Benefits!Q33</f>
        <v>-362777.77777777775</v>
      </c>
      <c r="R39" s="22">
        <f>-Benefits!R33</f>
        <v>-362777.77777777775</v>
      </c>
      <c r="S39" s="22">
        <f>-Benefits!S33</f>
        <v>-362777.77777777775</v>
      </c>
      <c r="T39" s="22">
        <f>-Benefits!T33</f>
        <v>-362777.77777777775</v>
      </c>
      <c r="U39" s="22">
        <f>-Benefits!U33</f>
        <v>-362777.77777777775</v>
      </c>
      <c r="V39" s="22">
        <f>-Benefits!V33</f>
        <v>-362777.77777777775</v>
      </c>
      <c r="W39" s="22">
        <f>-Benefits!W33</f>
        <v>-362777.77777777775</v>
      </c>
      <c r="X39" s="22">
        <f>-Benefits!X33</f>
        <v>-362777.77777777775</v>
      </c>
      <c r="Y39" s="22">
        <f>-Benefits!Y33</f>
        <v>-362777.77777777775</v>
      </c>
      <c r="Z39" s="22">
        <f>-Benefits!Z33</f>
        <v>-362777.77777777775</v>
      </c>
      <c r="AA39" s="22">
        <f>-Benefits!AA33</f>
        <v>-362777.77777777775</v>
      </c>
      <c r="AB39" s="22">
        <f>-Benefits!AB33</f>
        <v>-362777.77777777775</v>
      </c>
      <c r="AC39" s="22">
        <f>-Benefits!AC33</f>
        <v>-362777.77777777775</v>
      </c>
      <c r="AD39" s="22">
        <f>-Benefits!AD33</f>
        <v>-362777.77777777775</v>
      </c>
      <c r="AE39" s="22">
        <f>-Benefits!AE33</f>
        <v>-362777.77777777775</v>
      </c>
      <c r="AF39" s="22">
        <f>-Benefits!AF33</f>
        <v>-362777.77777777775</v>
      </c>
      <c r="AG39" s="22">
        <f>-Benefits!AG33</f>
        <v>0</v>
      </c>
    </row>
    <row r="40" spans="2:33" ht="15" customHeight="1" x14ac:dyDescent="0.2">
      <c r="B40" s="63" t="s">
        <v>687</v>
      </c>
      <c r="C40" s="63"/>
      <c r="D40" s="64">
        <f t="shared" ref="D40:AG40" si="1">D38+D39</f>
        <v>2992972.5503990822</v>
      </c>
      <c r="E40" s="64">
        <f t="shared" si="1"/>
        <v>2932972.5503990822</v>
      </c>
      <c r="F40" s="64">
        <f t="shared" si="1"/>
        <v>3178602.5503990822</v>
      </c>
      <c r="G40" s="64">
        <f t="shared" si="1"/>
        <v>2842185.7689593136</v>
      </c>
      <c r="H40" s="64">
        <f t="shared" si="1"/>
        <v>2842185.7689593136</v>
      </c>
      <c r="I40" s="64">
        <f t="shared" si="1"/>
        <v>2842185.7689593136</v>
      </c>
      <c r="J40" s="64">
        <f t="shared" si="1"/>
        <v>2842185.7689593136</v>
      </c>
      <c r="K40" s="64">
        <f t="shared" si="1"/>
        <v>2842185.7689593136</v>
      </c>
      <c r="L40" s="64">
        <f t="shared" si="1"/>
        <v>2842185.7689593136</v>
      </c>
      <c r="M40" s="64">
        <f t="shared" si="1"/>
        <v>2842185.7689593136</v>
      </c>
      <c r="N40" s="64">
        <f t="shared" si="1"/>
        <v>2842185.7689593136</v>
      </c>
      <c r="O40" s="64">
        <f t="shared" si="1"/>
        <v>2842185.7689593136</v>
      </c>
      <c r="P40" s="64">
        <f t="shared" si="1"/>
        <v>2842185.7689593136</v>
      </c>
      <c r="Q40" s="64">
        <f t="shared" si="1"/>
        <v>2842185.7689593136</v>
      </c>
      <c r="R40" s="64">
        <f t="shared" si="1"/>
        <v>2842185.7689593136</v>
      </c>
      <c r="S40" s="64">
        <f t="shared" si="1"/>
        <v>2842185.7689593136</v>
      </c>
      <c r="T40" s="64">
        <f t="shared" si="1"/>
        <v>2842185.7689593136</v>
      </c>
      <c r="U40" s="64">
        <f t="shared" si="1"/>
        <v>2842185.7689593136</v>
      </c>
      <c r="V40" s="64">
        <f t="shared" si="1"/>
        <v>2842185.7689593136</v>
      </c>
      <c r="W40" s="64">
        <f t="shared" si="1"/>
        <v>2842185.7689593136</v>
      </c>
      <c r="X40" s="64">
        <f t="shared" si="1"/>
        <v>2842185.7689593136</v>
      </c>
      <c r="Y40" s="64">
        <f t="shared" si="1"/>
        <v>2842185.7689593136</v>
      </c>
      <c r="Z40" s="64">
        <f t="shared" si="1"/>
        <v>2842185.7689593136</v>
      </c>
      <c r="AA40" s="64">
        <f t="shared" si="1"/>
        <v>2842185.7689593136</v>
      </c>
      <c r="AB40" s="64">
        <f t="shared" si="1"/>
        <v>2842185.7689593136</v>
      </c>
      <c r="AC40" s="64">
        <f t="shared" si="1"/>
        <v>2842185.7689593136</v>
      </c>
      <c r="AD40" s="64">
        <f t="shared" si="1"/>
        <v>2842185.7689593136</v>
      </c>
      <c r="AE40" s="64">
        <f t="shared" si="1"/>
        <v>2842185.7689593136</v>
      </c>
      <c r="AF40" s="64">
        <f t="shared" si="1"/>
        <v>2842185.7689593136</v>
      </c>
      <c r="AG40" s="64">
        <f t="shared" si="1"/>
        <v>3204963.5467370912</v>
      </c>
    </row>
  </sheetData>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G40"/>
  <sheetViews>
    <sheetView zoomScaleNormal="100" workbookViewId="0">
      <pane xSplit="3" ySplit="6" topLeftCell="D15" activePane="bottomRight" state="frozen"/>
      <selection pane="topRight" activeCell="D1" sqref="D1"/>
      <selection pane="bottomLeft" activeCell="A7" sqref="A7"/>
      <selection pane="bottomRight" activeCell="J15" sqref="J15"/>
    </sheetView>
  </sheetViews>
  <sheetFormatPr baseColWidth="10" defaultColWidth="8.6640625" defaultRowHeight="15" x14ac:dyDescent="0.2"/>
  <cols>
    <col min="1" max="1" width="4" customWidth="1"/>
    <col min="2" max="2" width="42" customWidth="1"/>
    <col min="3" max="3" width="14" customWidth="1"/>
    <col min="4" max="4" width="14.6640625" customWidth="1"/>
    <col min="5" max="5" width="14.33203125" customWidth="1"/>
    <col min="6" max="6" width="14.5" customWidth="1"/>
    <col min="7" max="7" width="15.1640625" customWidth="1"/>
    <col min="8" max="8" width="18.5" customWidth="1"/>
    <col min="9" max="33" width="11" customWidth="1"/>
  </cols>
  <sheetData>
    <row r="1" spans="2:33" ht="17.25" customHeight="1" x14ac:dyDescent="0.2">
      <c r="B1" s="11" t="s">
        <v>708</v>
      </c>
    </row>
    <row r="2" spans="2:33" ht="30" customHeight="1" x14ac:dyDescent="0.2">
      <c r="B2" s="85" t="s">
        <v>709</v>
      </c>
    </row>
    <row r="4" spans="2:33" ht="15" customHeight="1" x14ac:dyDescent="0.2">
      <c r="B4" s="86" t="s">
        <v>631</v>
      </c>
      <c r="D4" s="87" t="s">
        <v>567</v>
      </c>
      <c r="E4" s="88" t="s">
        <v>632</v>
      </c>
      <c r="F4" s="87" t="s">
        <v>665</v>
      </c>
      <c r="G4" s="88" t="s">
        <v>634</v>
      </c>
      <c r="H4" s="87" t="s">
        <v>635</v>
      </c>
      <c r="I4" s="89"/>
    </row>
    <row r="5" spans="2:33" ht="15" customHeight="1" x14ac:dyDescent="0.2">
      <c r="D5" s="90">
        <f>-NPV(Parameters!$C$9,D38:AG38)</f>
        <v>-28128968.991964217</v>
      </c>
      <c r="E5" s="93">
        <f>-NPV(Parameters!$C$9,D40:AG40)</f>
        <v>-22666865.771396138</v>
      </c>
      <c r="F5" s="90">
        <f>-C27</f>
        <v>-20802030</v>
      </c>
      <c r="G5" s="94">
        <f>C26</f>
        <v>20302030</v>
      </c>
      <c r="H5" s="91">
        <f>PMT(Parameters!$C$14,Parameters!$C$15,-C26)</f>
        <v>1246372.9458765453</v>
      </c>
      <c r="I5" s="95"/>
    </row>
    <row r="6" spans="2:33" ht="15" customHeight="1" x14ac:dyDescent="0.2">
      <c r="B6" s="48" t="s">
        <v>636</v>
      </c>
      <c r="C6" s="48" t="s">
        <v>637</v>
      </c>
      <c r="D6" s="79">
        <f>Parameters!$C$8+0</f>
        <v>2027</v>
      </c>
      <c r="E6" s="79">
        <f>Parameters!$C$8+1</f>
        <v>2028</v>
      </c>
      <c r="F6" s="79">
        <f>Parameters!$C$8+2</f>
        <v>2029</v>
      </c>
      <c r="G6" s="79">
        <f>Parameters!$C$8+3</f>
        <v>2030</v>
      </c>
      <c r="H6" s="79">
        <f>Parameters!$C$8+4</f>
        <v>2031</v>
      </c>
      <c r="I6" s="79">
        <f>Parameters!$C$8+5</f>
        <v>2032</v>
      </c>
      <c r="J6" s="79">
        <f>Parameters!$C$8+6</f>
        <v>2033</v>
      </c>
      <c r="K6" s="79">
        <f>Parameters!$C$8+7</f>
        <v>2034</v>
      </c>
      <c r="L6" s="79">
        <f>Parameters!$C$8+8</f>
        <v>2035</v>
      </c>
      <c r="M6" s="79">
        <f>Parameters!$C$8+9</f>
        <v>2036</v>
      </c>
      <c r="N6" s="79">
        <f>Parameters!$C$8+10</f>
        <v>2037</v>
      </c>
      <c r="O6" s="79">
        <f>Parameters!$C$8+11</f>
        <v>2038</v>
      </c>
      <c r="P6" s="79">
        <f>Parameters!$C$8+12</f>
        <v>2039</v>
      </c>
      <c r="Q6" s="79">
        <f>Parameters!$C$8+13</f>
        <v>2040</v>
      </c>
      <c r="R6" s="79">
        <f>Parameters!$C$8+14</f>
        <v>2041</v>
      </c>
      <c r="S6" s="79">
        <f>Parameters!$C$8+15</f>
        <v>2042</v>
      </c>
      <c r="T6" s="79">
        <f>Parameters!$C$8+16</f>
        <v>2043</v>
      </c>
      <c r="U6" s="79">
        <f>Parameters!$C$8+17</f>
        <v>2044</v>
      </c>
      <c r="V6" s="79">
        <f>Parameters!$C$8+18</f>
        <v>2045</v>
      </c>
      <c r="W6" s="79">
        <f>Parameters!$C$8+19</f>
        <v>2046</v>
      </c>
      <c r="X6" s="79">
        <f>Parameters!$C$8+20</f>
        <v>2047</v>
      </c>
      <c r="Y6" s="79">
        <f>Parameters!$C$8+21</f>
        <v>2048</v>
      </c>
      <c r="Z6" s="79">
        <f>Parameters!$C$8+22</f>
        <v>2049</v>
      </c>
      <c r="AA6" s="79">
        <f>Parameters!$C$8+23</f>
        <v>2050</v>
      </c>
      <c r="AB6" s="79">
        <f>Parameters!$C$8+24</f>
        <v>2051</v>
      </c>
      <c r="AC6" s="79">
        <f>Parameters!$C$8+25</f>
        <v>2052</v>
      </c>
      <c r="AD6" s="79">
        <f>Parameters!$C$8+26</f>
        <v>2053</v>
      </c>
      <c r="AE6" s="79">
        <f>Parameters!$C$8+27</f>
        <v>2054</v>
      </c>
      <c r="AF6" s="79">
        <f>Parameters!$C$8+28</f>
        <v>2055</v>
      </c>
      <c r="AG6" s="79">
        <f>Parameters!$C$8+29</f>
        <v>2056</v>
      </c>
    </row>
    <row r="7" spans="2:33" ht="15" customHeight="1" x14ac:dyDescent="0.2">
      <c r="B7" s="16" t="s">
        <v>710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2:33" ht="15" customHeight="1" x14ac:dyDescent="0.2">
      <c r="B8" t="s">
        <v>433</v>
      </c>
      <c r="C8" s="96">
        <f>Parameters!$C$122</f>
        <v>1000000</v>
      </c>
    </row>
    <row r="9" spans="2:33" ht="15" customHeight="1" x14ac:dyDescent="0.2">
      <c r="B9" t="s">
        <v>711</v>
      </c>
      <c r="C9" s="25">
        <f>Parameters!$C$123*Parameters!$C$124</f>
        <v>5000000</v>
      </c>
      <c r="E9" s="19" t="s">
        <v>712</v>
      </c>
    </row>
    <row r="10" spans="2:33" ht="15" customHeight="1" x14ac:dyDescent="0.2">
      <c r="B10" t="s">
        <v>713</v>
      </c>
      <c r="C10" s="18">
        <f>Parameters!$C$125</f>
        <v>500000</v>
      </c>
    </row>
    <row r="11" spans="2:33" ht="15" customHeight="1" x14ac:dyDescent="0.2">
      <c r="B11" t="s">
        <v>603</v>
      </c>
      <c r="C11" s="18">
        <f>Parameters!$C$126</f>
        <v>400000</v>
      </c>
    </row>
    <row r="12" spans="2:33" ht="15" customHeight="1" x14ac:dyDescent="0.2">
      <c r="B12" s="63" t="s">
        <v>714</v>
      </c>
      <c r="C12" s="64">
        <f>SUM(C8:C11)</f>
        <v>6900000</v>
      </c>
    </row>
    <row r="14" spans="2:33" ht="15" customHeight="1" x14ac:dyDescent="0.2">
      <c r="B14" s="16" t="s">
        <v>693</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2:33" ht="15" customHeight="1" x14ac:dyDescent="0.2">
      <c r="B15" t="s">
        <v>694</v>
      </c>
      <c r="C15" s="97">
        <f>Parameters!$C$88</f>
        <v>4500000</v>
      </c>
    </row>
    <row r="16" spans="2:33" ht="15" customHeight="1" x14ac:dyDescent="0.2">
      <c r="B16" t="s">
        <v>715</v>
      </c>
      <c r="C16" s="97">
        <f>Parameters!$C$91</f>
        <v>6000000</v>
      </c>
    </row>
    <row r="17" spans="2:33" ht="15" customHeight="1" x14ac:dyDescent="0.2">
      <c r="B17" t="s">
        <v>216</v>
      </c>
      <c r="C17" s="18">
        <f>Parameters!$C$95</f>
        <v>600000</v>
      </c>
    </row>
    <row r="18" spans="2:33" ht="15" customHeight="1" x14ac:dyDescent="0.2">
      <c r="B18" s="63" t="s">
        <v>716</v>
      </c>
      <c r="C18" s="64">
        <f>SUM(C15:C17)</f>
        <v>11100000</v>
      </c>
    </row>
    <row r="19" spans="2:33" ht="15" customHeight="1" x14ac:dyDescent="0.2">
      <c r="B19" t="s">
        <v>717</v>
      </c>
      <c r="C19" s="25">
        <f>C18*(Parameters!$C$98+Parameters!$C$99)</f>
        <v>1387500</v>
      </c>
    </row>
    <row r="20" spans="2:33" ht="15" customHeight="1" x14ac:dyDescent="0.2">
      <c r="B20" s="63" t="s">
        <v>699</v>
      </c>
      <c r="C20" s="64">
        <f>C18+C19</f>
        <v>12487500</v>
      </c>
    </row>
    <row r="22" spans="2:33" ht="15" customHeight="1" x14ac:dyDescent="0.2">
      <c r="B22" t="s">
        <v>718</v>
      </c>
      <c r="C22" s="25">
        <f>(C12-C8)*(Parameters!$C$98+Parameters!$C$99+Parameters!$C$100)+Parameters!$C$102</f>
        <v>1114500</v>
      </c>
    </row>
    <row r="23" spans="2:33" ht="15" customHeight="1" x14ac:dyDescent="0.2">
      <c r="B23" s="63" t="s">
        <v>701</v>
      </c>
      <c r="C23" s="64">
        <f>C12+C22+C20</f>
        <v>20502000</v>
      </c>
    </row>
    <row r="24" spans="2:33" ht="15" customHeight="1" x14ac:dyDescent="0.2">
      <c r="B24" t="s">
        <v>677</v>
      </c>
      <c r="C24" s="18">
        <f>-Parameters!$C$149</f>
        <v>-500000</v>
      </c>
    </row>
    <row r="25" spans="2:33" ht="15" customHeight="1" x14ac:dyDescent="0.2">
      <c r="B25" t="s">
        <v>678</v>
      </c>
      <c r="C25" s="25">
        <f>(C23+C24)*Parameters!$C$101</f>
        <v>300030</v>
      </c>
    </row>
    <row r="26" spans="2:33" ht="15" customHeight="1" x14ac:dyDescent="0.2">
      <c r="B26" s="63" t="s">
        <v>679</v>
      </c>
      <c r="C26" s="64">
        <f>C23+C24+C25</f>
        <v>20302030</v>
      </c>
    </row>
    <row r="27" spans="2:33" ht="15" customHeight="1" x14ac:dyDescent="0.2">
      <c r="B27" s="63" t="s">
        <v>49</v>
      </c>
      <c r="C27" s="64">
        <f>C23+C25</f>
        <v>20802030</v>
      </c>
    </row>
    <row r="29" spans="2:33" ht="15" customHeight="1" x14ac:dyDescent="0.2">
      <c r="B29" s="16" t="s">
        <v>680</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2:33" ht="15" customHeight="1" x14ac:dyDescent="0.2">
      <c r="B30" t="s">
        <v>579</v>
      </c>
      <c r="D30" s="25">
        <f>IF(1&lt;=Parameters!$C$15, PMT(Parameters!$C$14, Parameters!$C$15, -C26), 0)</f>
        <v>1246372.9458765453</v>
      </c>
      <c r="E30" s="25">
        <f>IF(2&lt;=Parameters!$C$15, PMT(Parameters!$C$14, Parameters!$C$15, -C26), 0)</f>
        <v>1246372.9458765453</v>
      </c>
      <c r="F30" s="25">
        <f>IF(3&lt;=Parameters!$C$15, PMT(Parameters!$C$14, Parameters!$C$15, -C26), 0)</f>
        <v>1246372.9458765453</v>
      </c>
      <c r="G30" s="25">
        <f>IF(4&lt;=Parameters!$C$15, PMT(Parameters!$C$14, Parameters!$C$15, -C26), 0)</f>
        <v>1246372.9458765453</v>
      </c>
      <c r="H30" s="25">
        <f>IF(5&lt;=Parameters!$C$15, PMT(Parameters!$C$14, Parameters!$C$15, -C26), 0)</f>
        <v>1246372.9458765453</v>
      </c>
      <c r="I30" s="25">
        <f>IF(6&lt;=Parameters!$C$15, PMT(Parameters!$C$14, Parameters!$C$15, -C26), 0)</f>
        <v>1246372.9458765453</v>
      </c>
      <c r="J30" s="25">
        <f>IF(7&lt;=Parameters!$C$15, PMT(Parameters!$C$14, Parameters!$C$15, -C26), 0)</f>
        <v>1246372.9458765453</v>
      </c>
      <c r="K30" s="25">
        <f>IF(8&lt;=Parameters!$C$15, PMT(Parameters!$C$14, Parameters!$C$15, -C26), 0)</f>
        <v>1246372.9458765453</v>
      </c>
      <c r="L30" s="25">
        <f>IF(9&lt;=Parameters!$C$15, PMT(Parameters!$C$14, Parameters!$C$15, -C26), 0)</f>
        <v>1246372.9458765453</v>
      </c>
      <c r="M30" s="25">
        <f>IF(10&lt;=Parameters!$C$15, PMT(Parameters!$C$14, Parameters!$C$15, -C26), 0)</f>
        <v>1246372.9458765453</v>
      </c>
      <c r="N30" s="25">
        <f>IF(11&lt;=Parameters!$C$15, PMT(Parameters!$C$14, Parameters!$C$15, -C26), 0)</f>
        <v>1246372.9458765453</v>
      </c>
      <c r="O30" s="25">
        <f>IF(12&lt;=Parameters!$C$15, PMT(Parameters!$C$14, Parameters!$C$15, -C26), 0)</f>
        <v>1246372.9458765453</v>
      </c>
      <c r="P30" s="25">
        <f>IF(13&lt;=Parameters!$C$15, PMT(Parameters!$C$14, Parameters!$C$15, -C26), 0)</f>
        <v>1246372.9458765453</v>
      </c>
      <c r="Q30" s="25">
        <f>IF(14&lt;=Parameters!$C$15, PMT(Parameters!$C$14, Parameters!$C$15, -C26), 0)</f>
        <v>1246372.9458765453</v>
      </c>
      <c r="R30" s="25">
        <f>IF(15&lt;=Parameters!$C$15, PMT(Parameters!$C$14, Parameters!$C$15, -C26), 0)</f>
        <v>1246372.9458765453</v>
      </c>
      <c r="S30" s="25">
        <f>IF(16&lt;=Parameters!$C$15, PMT(Parameters!$C$14, Parameters!$C$15, -C26), 0)</f>
        <v>1246372.9458765453</v>
      </c>
      <c r="T30" s="25">
        <f>IF(17&lt;=Parameters!$C$15, PMT(Parameters!$C$14, Parameters!$C$15, -C26), 0)</f>
        <v>1246372.9458765453</v>
      </c>
      <c r="U30" s="25">
        <f>IF(18&lt;=Parameters!$C$15, PMT(Parameters!$C$14, Parameters!$C$15, -C26), 0)</f>
        <v>1246372.9458765453</v>
      </c>
      <c r="V30" s="25">
        <f>IF(19&lt;=Parameters!$C$15, PMT(Parameters!$C$14, Parameters!$C$15, -C26), 0)</f>
        <v>1246372.9458765453</v>
      </c>
      <c r="W30" s="25">
        <f>IF(20&lt;=Parameters!$C$15, PMT(Parameters!$C$14, Parameters!$C$15, -C26), 0)</f>
        <v>1246372.9458765453</v>
      </c>
      <c r="X30" s="25">
        <f>IF(21&lt;=Parameters!$C$15, PMT(Parameters!$C$14, Parameters!$C$15, -C26), 0)</f>
        <v>1246372.9458765453</v>
      </c>
      <c r="Y30" s="25">
        <f>IF(22&lt;=Parameters!$C$15, PMT(Parameters!$C$14, Parameters!$C$15, -C26), 0)</f>
        <v>1246372.9458765453</v>
      </c>
      <c r="Z30" s="25">
        <f>IF(23&lt;=Parameters!$C$15, PMT(Parameters!$C$14, Parameters!$C$15, -C26), 0)</f>
        <v>1246372.9458765453</v>
      </c>
      <c r="AA30" s="25">
        <f>IF(24&lt;=Parameters!$C$15, PMT(Parameters!$C$14, Parameters!$C$15, -C26), 0)</f>
        <v>1246372.9458765453</v>
      </c>
      <c r="AB30" s="25">
        <f>IF(25&lt;=Parameters!$C$15, PMT(Parameters!$C$14, Parameters!$C$15, -C26), 0)</f>
        <v>1246372.9458765453</v>
      </c>
      <c r="AC30" s="25">
        <f>IF(26&lt;=Parameters!$C$15, PMT(Parameters!$C$14, Parameters!$C$15, -C26), 0)</f>
        <v>1246372.9458765453</v>
      </c>
      <c r="AD30" s="25">
        <f>IF(27&lt;=Parameters!$C$15, PMT(Parameters!$C$14, Parameters!$C$15, -C26), 0)</f>
        <v>1246372.9458765453</v>
      </c>
      <c r="AE30" s="25">
        <f>IF(28&lt;=Parameters!$C$15, PMT(Parameters!$C$14, Parameters!$C$15, -C26), 0)</f>
        <v>1246372.9458765453</v>
      </c>
      <c r="AF30" s="25">
        <f>IF(29&lt;=Parameters!$C$15, PMT(Parameters!$C$14, Parameters!$C$15, -C26), 0)</f>
        <v>1246372.9458765453</v>
      </c>
      <c r="AG30" s="25">
        <f>IF(30&lt;=Parameters!$C$15, PMT(Parameters!$C$14, Parameters!$C$15, -C26), 0)</f>
        <v>1246372.9458765453</v>
      </c>
    </row>
    <row r="31" spans="2:33" ht="15" customHeight="1" x14ac:dyDescent="0.2">
      <c r="B31" t="s">
        <v>719</v>
      </c>
      <c r="D31" s="25">
        <f>IF(1&lt;=(Parameters!$C$153+Parameters!$C$152), Parameters!$C$57*(1+Parameters!$C$12)^0, 0)</f>
        <v>101500</v>
      </c>
      <c r="E31" s="25">
        <f>IF(2&lt;=(Parameters!$C$153+Parameters!$C$152), Parameters!$C$57*(1+Parameters!$C$12)^1, 0)</f>
        <v>101500</v>
      </c>
      <c r="F31" s="25">
        <f>IF(3&lt;=(Parameters!$C$153+Parameters!$C$152), Parameters!$C$57*(1+Parameters!$C$12)^2, 0)</f>
        <v>0</v>
      </c>
      <c r="G31" s="25">
        <f>IF(4&lt;=(Parameters!$C$153+Parameters!$C$152), Parameters!$C$57*(1+Parameters!$C$12)^3, 0)</f>
        <v>0</v>
      </c>
      <c r="H31" s="25">
        <f>IF(5&lt;=(Parameters!$C$153+Parameters!$C$152), Parameters!$C$57*(1+Parameters!$C$12)^4, 0)</f>
        <v>0</v>
      </c>
      <c r="I31" s="25">
        <f>IF(6&lt;=(Parameters!$C$153+Parameters!$C$152), Parameters!$C$57*(1+Parameters!$C$12)^5, 0)</f>
        <v>0</v>
      </c>
      <c r="J31" s="25">
        <f>IF(7&lt;=(Parameters!$C$153+Parameters!$C$152), Parameters!$C$57*(1+Parameters!$C$12)^6, 0)</f>
        <v>0</v>
      </c>
      <c r="K31" s="25">
        <f>IF(8&lt;=(Parameters!$C$153+Parameters!$C$152), Parameters!$C$57*(1+Parameters!$C$12)^7, 0)</f>
        <v>0</v>
      </c>
      <c r="L31" s="25">
        <f>IF(9&lt;=(Parameters!$C$153+Parameters!$C$152), Parameters!$C$57*(1+Parameters!$C$12)^8, 0)</f>
        <v>0</v>
      </c>
      <c r="M31" s="25">
        <f>IF(10&lt;=(Parameters!$C$153+Parameters!$C$152), Parameters!$C$57*(1+Parameters!$C$12)^9, 0)</f>
        <v>0</v>
      </c>
      <c r="N31" s="25">
        <f>IF(11&lt;=(Parameters!$C$153+Parameters!$C$152), Parameters!$C$57*(1+Parameters!$C$12)^10, 0)</f>
        <v>0</v>
      </c>
      <c r="O31" s="25">
        <f>IF(12&lt;=(Parameters!$C$153+Parameters!$C$152), Parameters!$C$57*(1+Parameters!$C$12)^11, 0)</f>
        <v>0</v>
      </c>
      <c r="P31" s="25">
        <f>IF(13&lt;=(Parameters!$C$153+Parameters!$C$152), Parameters!$C$57*(1+Parameters!$C$12)^12, 0)</f>
        <v>0</v>
      </c>
      <c r="Q31" s="25">
        <f>IF(14&lt;=(Parameters!$C$153+Parameters!$C$152), Parameters!$C$57*(1+Parameters!$C$12)^13, 0)</f>
        <v>0</v>
      </c>
      <c r="R31" s="25">
        <f>IF(15&lt;=(Parameters!$C$153+Parameters!$C$152), Parameters!$C$57*(1+Parameters!$C$12)^14, 0)</f>
        <v>0</v>
      </c>
      <c r="S31" s="25">
        <f>IF(16&lt;=(Parameters!$C$153+Parameters!$C$152), Parameters!$C$57*(1+Parameters!$C$12)^15, 0)</f>
        <v>0</v>
      </c>
      <c r="T31" s="25">
        <f>IF(17&lt;=(Parameters!$C$153+Parameters!$C$152), Parameters!$C$57*(1+Parameters!$C$12)^16, 0)</f>
        <v>0</v>
      </c>
      <c r="U31" s="25">
        <f>IF(18&lt;=(Parameters!$C$153+Parameters!$C$152), Parameters!$C$57*(1+Parameters!$C$12)^17, 0)</f>
        <v>0</v>
      </c>
      <c r="V31" s="25">
        <f>IF(19&lt;=(Parameters!$C$153+Parameters!$C$152), Parameters!$C$57*(1+Parameters!$C$12)^18, 0)</f>
        <v>0</v>
      </c>
      <c r="W31" s="25">
        <f>IF(20&lt;=(Parameters!$C$153+Parameters!$C$152), Parameters!$C$57*(1+Parameters!$C$12)^19, 0)</f>
        <v>0</v>
      </c>
      <c r="X31" s="25">
        <f>IF(21&lt;=(Parameters!$C$153+Parameters!$C$152), Parameters!$C$57*(1+Parameters!$C$12)^20, 0)</f>
        <v>0</v>
      </c>
      <c r="Y31" s="25">
        <f>IF(22&lt;=(Parameters!$C$153+Parameters!$C$152), Parameters!$C$57*(1+Parameters!$C$12)^21, 0)</f>
        <v>0</v>
      </c>
      <c r="Z31" s="25">
        <f>IF(23&lt;=(Parameters!$C$153+Parameters!$C$152), Parameters!$C$57*(1+Parameters!$C$12)^22, 0)</f>
        <v>0</v>
      </c>
      <c r="AA31" s="25">
        <f>IF(24&lt;=(Parameters!$C$153+Parameters!$C$152), Parameters!$C$57*(1+Parameters!$C$12)^23, 0)</f>
        <v>0</v>
      </c>
      <c r="AB31" s="25">
        <f>IF(25&lt;=(Parameters!$C$153+Parameters!$C$152), Parameters!$C$57*(1+Parameters!$C$12)^24, 0)</f>
        <v>0</v>
      </c>
      <c r="AC31" s="25">
        <f>IF(26&lt;=(Parameters!$C$153+Parameters!$C$152), Parameters!$C$57*(1+Parameters!$C$12)^25, 0)</f>
        <v>0</v>
      </c>
      <c r="AD31" s="25">
        <f>IF(27&lt;=(Parameters!$C$153+Parameters!$C$152), Parameters!$C$57*(1+Parameters!$C$12)^26, 0)</f>
        <v>0</v>
      </c>
      <c r="AE31" s="25">
        <f>IF(28&lt;=(Parameters!$C$153+Parameters!$C$152), Parameters!$C$57*(1+Parameters!$C$12)^27, 0)</f>
        <v>0</v>
      </c>
      <c r="AF31" s="25">
        <f>IF(29&lt;=(Parameters!$C$153+Parameters!$C$152), Parameters!$C$57*(1+Parameters!$C$12)^28, 0)</f>
        <v>0</v>
      </c>
      <c r="AG31" s="25">
        <f>IF(30&lt;=(Parameters!$C$153+Parameters!$C$152), Parameters!$C$57*(1+Parameters!$C$12)^29, 0)</f>
        <v>0</v>
      </c>
    </row>
    <row r="32" spans="2:33" ht="15" customHeight="1" x14ac:dyDescent="0.2">
      <c r="B32" t="s">
        <v>720</v>
      </c>
      <c r="D32" s="25">
        <f>IF(1&gt;(Parameters!$C$153+Parameters!$C$152), Parameters!$C$57*Parameters!$C$155*(Parameters!$C$94/Parameters!$C$26)*(1+Parameters!$C$12)^0, 0)</f>
        <v>0</v>
      </c>
      <c r="E32" s="25">
        <f>IF(2&gt;(Parameters!$C$153+Parameters!$C$152), Parameters!$C$57*Parameters!$C$155*(Parameters!$C$94/Parameters!$C$26)*(1+Parameters!$C$12)^1, 0)</f>
        <v>0</v>
      </c>
      <c r="F32" s="25">
        <f>IF(3&gt;(Parameters!$C$153+Parameters!$C$152), Parameters!$C$57*Parameters!$C$155*(Parameters!$C$94/Parameters!$C$26)*(1+Parameters!$C$12)^2, 0)</f>
        <v>132860.9963380087</v>
      </c>
      <c r="G32" s="25">
        <f>IF(4&gt;(Parameters!$C$153+Parameters!$C$152), Parameters!$C$57*Parameters!$C$155*(Parameters!$C$94/Parameters!$C$26)*(1+Parameters!$C$12)^3, 0)</f>
        <v>132860.9963380087</v>
      </c>
      <c r="H32" s="25">
        <f>IF(5&gt;(Parameters!$C$153+Parameters!$C$152), Parameters!$C$57*Parameters!$C$155*(Parameters!$C$94/Parameters!$C$26)*(1+Parameters!$C$12)^4, 0)</f>
        <v>132860.9963380087</v>
      </c>
      <c r="I32" s="25">
        <f>IF(6&gt;(Parameters!$C$153+Parameters!$C$152), Parameters!$C$57*Parameters!$C$155*(Parameters!$C$94/Parameters!$C$26)*(1+Parameters!$C$12)^5, 0)</f>
        <v>132860.9963380087</v>
      </c>
      <c r="J32" s="25">
        <f>IF(7&gt;(Parameters!$C$153+Parameters!$C$152), Parameters!$C$57*Parameters!$C$155*(Parameters!$C$94/Parameters!$C$26)*(1+Parameters!$C$12)^6, 0)</f>
        <v>132860.9963380087</v>
      </c>
      <c r="K32" s="25">
        <f>IF(8&gt;(Parameters!$C$153+Parameters!$C$152), Parameters!$C$57*Parameters!$C$155*(Parameters!$C$94/Parameters!$C$26)*(1+Parameters!$C$12)^7, 0)</f>
        <v>132860.9963380087</v>
      </c>
      <c r="L32" s="25">
        <f>IF(9&gt;(Parameters!$C$153+Parameters!$C$152), Parameters!$C$57*Parameters!$C$155*(Parameters!$C$94/Parameters!$C$26)*(1+Parameters!$C$12)^8, 0)</f>
        <v>132860.9963380087</v>
      </c>
      <c r="M32" s="25">
        <f>IF(10&gt;(Parameters!$C$153+Parameters!$C$152), Parameters!$C$57*Parameters!$C$155*(Parameters!$C$94/Parameters!$C$26)*(1+Parameters!$C$12)^9, 0)</f>
        <v>132860.9963380087</v>
      </c>
      <c r="N32" s="25">
        <f>IF(11&gt;(Parameters!$C$153+Parameters!$C$152), Parameters!$C$57*Parameters!$C$155*(Parameters!$C$94/Parameters!$C$26)*(1+Parameters!$C$12)^10, 0)</f>
        <v>132860.9963380087</v>
      </c>
      <c r="O32" s="25">
        <f>IF(12&gt;(Parameters!$C$153+Parameters!$C$152), Parameters!$C$57*Parameters!$C$155*(Parameters!$C$94/Parameters!$C$26)*(1+Parameters!$C$12)^11, 0)</f>
        <v>132860.9963380087</v>
      </c>
      <c r="P32" s="25">
        <f>IF(13&gt;(Parameters!$C$153+Parameters!$C$152), Parameters!$C$57*Parameters!$C$155*(Parameters!$C$94/Parameters!$C$26)*(1+Parameters!$C$12)^12, 0)</f>
        <v>132860.9963380087</v>
      </c>
      <c r="Q32" s="25">
        <f>IF(14&gt;(Parameters!$C$153+Parameters!$C$152), Parameters!$C$57*Parameters!$C$155*(Parameters!$C$94/Parameters!$C$26)*(1+Parameters!$C$12)^13, 0)</f>
        <v>132860.9963380087</v>
      </c>
      <c r="R32" s="25">
        <f>IF(15&gt;(Parameters!$C$153+Parameters!$C$152), Parameters!$C$57*Parameters!$C$155*(Parameters!$C$94/Parameters!$C$26)*(1+Parameters!$C$12)^14, 0)</f>
        <v>132860.9963380087</v>
      </c>
      <c r="S32" s="25">
        <f>IF(16&gt;(Parameters!$C$153+Parameters!$C$152), Parameters!$C$57*Parameters!$C$155*(Parameters!$C$94/Parameters!$C$26)*(1+Parameters!$C$12)^15, 0)</f>
        <v>132860.9963380087</v>
      </c>
      <c r="T32" s="25">
        <f>IF(17&gt;(Parameters!$C$153+Parameters!$C$152), Parameters!$C$57*Parameters!$C$155*(Parameters!$C$94/Parameters!$C$26)*(1+Parameters!$C$12)^16, 0)</f>
        <v>132860.9963380087</v>
      </c>
      <c r="U32" s="25">
        <f>IF(18&gt;(Parameters!$C$153+Parameters!$C$152), Parameters!$C$57*Parameters!$C$155*(Parameters!$C$94/Parameters!$C$26)*(1+Parameters!$C$12)^17, 0)</f>
        <v>132860.9963380087</v>
      </c>
      <c r="V32" s="25">
        <f>IF(19&gt;(Parameters!$C$153+Parameters!$C$152), Parameters!$C$57*Parameters!$C$155*(Parameters!$C$94/Parameters!$C$26)*(1+Parameters!$C$12)^18, 0)</f>
        <v>132860.9963380087</v>
      </c>
      <c r="W32" s="25">
        <f>IF(20&gt;(Parameters!$C$153+Parameters!$C$152), Parameters!$C$57*Parameters!$C$155*(Parameters!$C$94/Parameters!$C$26)*(1+Parameters!$C$12)^19, 0)</f>
        <v>132860.9963380087</v>
      </c>
      <c r="X32" s="25">
        <f>IF(21&gt;(Parameters!$C$153+Parameters!$C$152), Parameters!$C$57*Parameters!$C$155*(Parameters!$C$94/Parameters!$C$26)*(1+Parameters!$C$12)^20, 0)</f>
        <v>132860.9963380087</v>
      </c>
      <c r="Y32" s="25">
        <f>IF(22&gt;(Parameters!$C$153+Parameters!$C$152), Parameters!$C$57*Parameters!$C$155*(Parameters!$C$94/Parameters!$C$26)*(1+Parameters!$C$12)^21, 0)</f>
        <v>132860.9963380087</v>
      </c>
      <c r="Z32" s="25">
        <f>IF(23&gt;(Parameters!$C$153+Parameters!$C$152), Parameters!$C$57*Parameters!$C$155*(Parameters!$C$94/Parameters!$C$26)*(1+Parameters!$C$12)^22, 0)</f>
        <v>132860.9963380087</v>
      </c>
      <c r="AA32" s="25">
        <f>IF(24&gt;(Parameters!$C$153+Parameters!$C$152), Parameters!$C$57*Parameters!$C$155*(Parameters!$C$94/Parameters!$C$26)*(1+Parameters!$C$12)^23, 0)</f>
        <v>132860.9963380087</v>
      </c>
      <c r="AB32" s="25">
        <f>IF(25&gt;(Parameters!$C$153+Parameters!$C$152), Parameters!$C$57*Parameters!$C$155*(Parameters!$C$94/Parameters!$C$26)*(1+Parameters!$C$12)^24, 0)</f>
        <v>132860.9963380087</v>
      </c>
      <c r="AC32" s="25">
        <f>IF(26&gt;(Parameters!$C$153+Parameters!$C$152), Parameters!$C$57*Parameters!$C$155*(Parameters!$C$94/Parameters!$C$26)*(1+Parameters!$C$12)^25, 0)</f>
        <v>132860.9963380087</v>
      </c>
      <c r="AD32" s="25">
        <f>IF(27&gt;(Parameters!$C$153+Parameters!$C$152), Parameters!$C$57*Parameters!$C$155*(Parameters!$C$94/Parameters!$C$26)*(1+Parameters!$C$12)^26, 0)</f>
        <v>132860.9963380087</v>
      </c>
      <c r="AE32" s="25">
        <f>IF(28&gt;(Parameters!$C$153+Parameters!$C$152), Parameters!$C$57*Parameters!$C$155*(Parameters!$C$94/Parameters!$C$26)*(1+Parameters!$C$12)^27, 0)</f>
        <v>132860.9963380087</v>
      </c>
      <c r="AF32" s="25">
        <f>IF(29&gt;(Parameters!$C$153+Parameters!$C$152), Parameters!$C$57*Parameters!$C$155*(Parameters!$C$94/Parameters!$C$26)*(1+Parameters!$C$12)^28, 0)</f>
        <v>132860.9963380087</v>
      </c>
      <c r="AG32" s="25">
        <f>IF(30&gt;(Parameters!$C$153+Parameters!$C$152), Parameters!$C$57*Parameters!$C$155*(Parameters!$C$94/Parameters!$C$26)*(1+Parameters!$C$12)^29, 0)</f>
        <v>132860.9963380087</v>
      </c>
    </row>
    <row r="33" spans="2:33" ht="15" customHeight="1" x14ac:dyDescent="0.2">
      <c r="B33" t="s">
        <v>721</v>
      </c>
      <c r="D33" s="25">
        <f>IF(1&lt;=Parameters!$C$153, Parameters!$C$64*(1+Parameters!$C$12)^0, 0)</f>
        <v>131239</v>
      </c>
      <c r="E33" s="25">
        <f>IF(2&lt;=Parameters!$C$153, Parameters!$C$64*(1+Parameters!$C$12)^1, 0)</f>
        <v>0</v>
      </c>
      <c r="F33" s="25">
        <f>IF(3&lt;=Parameters!$C$153, Parameters!$C$64*(1+Parameters!$C$12)^2, 0)</f>
        <v>0</v>
      </c>
      <c r="G33" s="25">
        <f>IF(4&lt;=Parameters!$C$153, Parameters!$C$64*(1+Parameters!$C$12)^3, 0)</f>
        <v>0</v>
      </c>
      <c r="H33" s="25">
        <f>IF(5&lt;=Parameters!$C$153, Parameters!$C$64*(1+Parameters!$C$12)^4, 0)</f>
        <v>0</v>
      </c>
      <c r="I33" s="25">
        <f>IF(6&lt;=Parameters!$C$153, Parameters!$C$64*(1+Parameters!$C$12)^5, 0)</f>
        <v>0</v>
      </c>
      <c r="J33" s="25">
        <f>IF(7&lt;=Parameters!$C$153, Parameters!$C$64*(1+Parameters!$C$12)^6, 0)</f>
        <v>0</v>
      </c>
      <c r="K33" s="25">
        <f>IF(8&lt;=Parameters!$C$153, Parameters!$C$64*(1+Parameters!$C$12)^7, 0)</f>
        <v>0</v>
      </c>
      <c r="L33" s="25">
        <f>IF(9&lt;=Parameters!$C$153, Parameters!$C$64*(1+Parameters!$C$12)^8, 0)</f>
        <v>0</v>
      </c>
      <c r="M33" s="25">
        <f>IF(10&lt;=Parameters!$C$153, Parameters!$C$64*(1+Parameters!$C$12)^9, 0)</f>
        <v>0</v>
      </c>
      <c r="N33" s="25">
        <f>IF(11&lt;=Parameters!$C$153, Parameters!$C$64*(1+Parameters!$C$12)^10, 0)</f>
        <v>0</v>
      </c>
      <c r="O33" s="25">
        <f>IF(12&lt;=Parameters!$C$153, Parameters!$C$64*(1+Parameters!$C$12)^11, 0)</f>
        <v>0</v>
      </c>
      <c r="P33" s="25">
        <f>IF(13&lt;=Parameters!$C$153, Parameters!$C$64*(1+Parameters!$C$12)^12, 0)</f>
        <v>0</v>
      </c>
      <c r="Q33" s="25">
        <f>IF(14&lt;=Parameters!$C$153, Parameters!$C$64*(1+Parameters!$C$12)^13, 0)</f>
        <v>0</v>
      </c>
      <c r="R33" s="25">
        <f>IF(15&lt;=Parameters!$C$153, Parameters!$C$64*(1+Parameters!$C$12)^14, 0)</f>
        <v>0</v>
      </c>
      <c r="S33" s="25">
        <f>IF(16&lt;=Parameters!$C$153, Parameters!$C$64*(1+Parameters!$C$12)^15, 0)</f>
        <v>0</v>
      </c>
      <c r="T33" s="25">
        <f>IF(17&lt;=Parameters!$C$153, Parameters!$C$64*(1+Parameters!$C$12)^16, 0)</f>
        <v>0</v>
      </c>
      <c r="U33" s="25">
        <f>IF(18&lt;=Parameters!$C$153, Parameters!$C$64*(1+Parameters!$C$12)^17, 0)</f>
        <v>0</v>
      </c>
      <c r="V33" s="25">
        <f>IF(19&lt;=Parameters!$C$153, Parameters!$C$64*(1+Parameters!$C$12)^18, 0)</f>
        <v>0</v>
      </c>
      <c r="W33" s="25">
        <f>IF(20&lt;=Parameters!$C$153, Parameters!$C$64*(1+Parameters!$C$12)^19, 0)</f>
        <v>0</v>
      </c>
      <c r="X33" s="25">
        <f>IF(21&lt;=Parameters!$C$153, Parameters!$C$64*(1+Parameters!$C$12)^20, 0)</f>
        <v>0</v>
      </c>
      <c r="Y33" s="25">
        <f>IF(22&lt;=Parameters!$C$153, Parameters!$C$64*(1+Parameters!$C$12)^21, 0)</f>
        <v>0</v>
      </c>
      <c r="Z33" s="25">
        <f>IF(23&lt;=Parameters!$C$153, Parameters!$C$64*(1+Parameters!$C$12)^22, 0)</f>
        <v>0</v>
      </c>
      <c r="AA33" s="25">
        <f>IF(24&lt;=Parameters!$C$153, Parameters!$C$64*(1+Parameters!$C$12)^23, 0)</f>
        <v>0</v>
      </c>
      <c r="AB33" s="25">
        <f>IF(25&lt;=Parameters!$C$153, Parameters!$C$64*(1+Parameters!$C$12)^24, 0)</f>
        <v>0</v>
      </c>
      <c r="AC33" s="25">
        <f>IF(26&lt;=Parameters!$C$153, Parameters!$C$64*(1+Parameters!$C$12)^25, 0)</f>
        <v>0</v>
      </c>
      <c r="AD33" s="25">
        <f>IF(27&lt;=Parameters!$C$153, Parameters!$C$64*(1+Parameters!$C$12)^26, 0)</f>
        <v>0</v>
      </c>
      <c r="AE33" s="25">
        <f>IF(28&lt;=Parameters!$C$153, Parameters!$C$64*(1+Parameters!$C$12)^27, 0)</f>
        <v>0</v>
      </c>
      <c r="AF33" s="25">
        <f>IF(29&lt;=Parameters!$C$153, Parameters!$C$64*(1+Parameters!$C$12)^28, 0)</f>
        <v>0</v>
      </c>
      <c r="AG33" s="25">
        <f>IF(30&lt;=Parameters!$C$153, Parameters!$C$64*(1+Parameters!$C$12)^29, 0)</f>
        <v>0</v>
      </c>
    </row>
    <row r="34" spans="2:33" ht="15" customHeight="1" x14ac:dyDescent="0.2">
      <c r="B34" t="s">
        <v>722</v>
      </c>
      <c r="D34" s="25">
        <f>IF(1&gt;Parameters!$C$153, Parameters!$C$123*Parameters!$C$156*(1+Parameters!$C$12)^0, 0)</f>
        <v>0</v>
      </c>
      <c r="E34" s="25">
        <f>IF(2&gt;Parameters!$C$153, Parameters!$C$123*Parameters!$C$156*(1+Parameters!$C$12)^1, 0)</f>
        <v>225000</v>
      </c>
      <c r="F34" s="25">
        <f>IF(3&gt;Parameters!$C$153, Parameters!$C$123*Parameters!$C$156*(1+Parameters!$C$12)^2, 0)</f>
        <v>225000</v>
      </c>
      <c r="G34" s="25">
        <f>IF(4&gt;Parameters!$C$153, Parameters!$C$123*Parameters!$C$156*(1+Parameters!$C$12)^3, 0)</f>
        <v>225000</v>
      </c>
      <c r="H34" s="25">
        <f>IF(5&gt;Parameters!$C$153, Parameters!$C$123*Parameters!$C$156*(1+Parameters!$C$12)^4, 0)</f>
        <v>225000</v>
      </c>
      <c r="I34" s="25">
        <f>IF(6&gt;Parameters!$C$153, Parameters!$C$123*Parameters!$C$156*(1+Parameters!$C$12)^5, 0)</f>
        <v>225000</v>
      </c>
      <c r="J34" s="25">
        <f>IF(7&gt;Parameters!$C$153, Parameters!$C$123*Parameters!$C$156*(1+Parameters!$C$12)^6, 0)</f>
        <v>225000</v>
      </c>
      <c r="K34" s="25">
        <f>IF(8&gt;Parameters!$C$153, Parameters!$C$123*Parameters!$C$156*(1+Parameters!$C$12)^7, 0)</f>
        <v>225000</v>
      </c>
      <c r="L34" s="25">
        <f>IF(9&gt;Parameters!$C$153, Parameters!$C$123*Parameters!$C$156*(1+Parameters!$C$12)^8, 0)</f>
        <v>225000</v>
      </c>
      <c r="M34" s="25">
        <f>IF(10&gt;Parameters!$C$153, Parameters!$C$123*Parameters!$C$156*(1+Parameters!$C$12)^9, 0)</f>
        <v>225000</v>
      </c>
      <c r="N34" s="25">
        <f>IF(11&gt;Parameters!$C$153, Parameters!$C$123*Parameters!$C$156*(1+Parameters!$C$12)^10, 0)</f>
        <v>225000</v>
      </c>
      <c r="O34" s="25">
        <f>IF(12&gt;Parameters!$C$153, Parameters!$C$123*Parameters!$C$156*(1+Parameters!$C$12)^11, 0)</f>
        <v>225000</v>
      </c>
      <c r="P34" s="25">
        <f>IF(13&gt;Parameters!$C$153, Parameters!$C$123*Parameters!$C$156*(1+Parameters!$C$12)^12, 0)</f>
        <v>225000</v>
      </c>
      <c r="Q34" s="25">
        <f>IF(14&gt;Parameters!$C$153, Parameters!$C$123*Parameters!$C$156*(1+Parameters!$C$12)^13, 0)</f>
        <v>225000</v>
      </c>
      <c r="R34" s="25">
        <f>IF(15&gt;Parameters!$C$153, Parameters!$C$123*Parameters!$C$156*(1+Parameters!$C$12)^14, 0)</f>
        <v>225000</v>
      </c>
      <c r="S34" s="25">
        <f>IF(16&gt;Parameters!$C$153, Parameters!$C$123*Parameters!$C$156*(1+Parameters!$C$12)^15, 0)</f>
        <v>225000</v>
      </c>
      <c r="T34" s="25">
        <f>IF(17&gt;Parameters!$C$153, Parameters!$C$123*Parameters!$C$156*(1+Parameters!$C$12)^16, 0)</f>
        <v>225000</v>
      </c>
      <c r="U34" s="25">
        <f>IF(18&gt;Parameters!$C$153, Parameters!$C$123*Parameters!$C$156*(1+Parameters!$C$12)^17, 0)</f>
        <v>225000</v>
      </c>
      <c r="V34" s="25">
        <f>IF(19&gt;Parameters!$C$153, Parameters!$C$123*Parameters!$C$156*(1+Parameters!$C$12)^18, 0)</f>
        <v>225000</v>
      </c>
      <c r="W34" s="25">
        <f>IF(20&gt;Parameters!$C$153, Parameters!$C$123*Parameters!$C$156*(1+Parameters!$C$12)^19, 0)</f>
        <v>225000</v>
      </c>
      <c r="X34" s="25">
        <f>IF(21&gt;Parameters!$C$153, Parameters!$C$123*Parameters!$C$156*(1+Parameters!$C$12)^20, 0)</f>
        <v>225000</v>
      </c>
      <c r="Y34" s="25">
        <f>IF(22&gt;Parameters!$C$153, Parameters!$C$123*Parameters!$C$156*(1+Parameters!$C$12)^21, 0)</f>
        <v>225000</v>
      </c>
      <c r="Z34" s="25">
        <f>IF(23&gt;Parameters!$C$153, Parameters!$C$123*Parameters!$C$156*(1+Parameters!$C$12)^22, 0)</f>
        <v>225000</v>
      </c>
      <c r="AA34" s="25">
        <f>IF(24&gt;Parameters!$C$153, Parameters!$C$123*Parameters!$C$156*(1+Parameters!$C$12)^23, 0)</f>
        <v>225000</v>
      </c>
      <c r="AB34" s="25">
        <f>IF(25&gt;Parameters!$C$153, Parameters!$C$123*Parameters!$C$156*(1+Parameters!$C$12)^24, 0)</f>
        <v>225000</v>
      </c>
      <c r="AC34" s="25">
        <f>IF(26&gt;Parameters!$C$153, Parameters!$C$123*Parameters!$C$156*(1+Parameters!$C$12)^25, 0)</f>
        <v>225000</v>
      </c>
      <c r="AD34" s="25">
        <f>IF(27&gt;Parameters!$C$153, Parameters!$C$123*Parameters!$C$156*(1+Parameters!$C$12)^26, 0)</f>
        <v>225000</v>
      </c>
      <c r="AE34" s="25">
        <f>IF(28&gt;Parameters!$C$153, Parameters!$C$123*Parameters!$C$156*(1+Parameters!$C$12)^27, 0)</f>
        <v>225000</v>
      </c>
      <c r="AF34" s="25">
        <f>IF(29&gt;Parameters!$C$153, Parameters!$C$123*Parameters!$C$156*(1+Parameters!$C$12)^28, 0)</f>
        <v>225000</v>
      </c>
      <c r="AG34" s="25">
        <f>IF(30&gt;Parameters!$C$153, Parameters!$C$123*Parameters!$C$156*(1+Parameters!$C$12)^29, 0)</f>
        <v>225000</v>
      </c>
    </row>
    <row r="35" spans="2:33" ht="15" customHeight="1" x14ac:dyDescent="0.2">
      <c r="B35" t="s">
        <v>723</v>
      </c>
      <c r="D35" s="25">
        <f>IF(1&gt;Parameters!$C$153, Parameters!$C$147*(1+Parameters!$C$12)^0, 0)</f>
        <v>0</v>
      </c>
      <c r="E35" s="25">
        <f>IF(2&gt;Parameters!$C$153, Parameters!$C$147*(1+Parameters!$C$12)^1, 0)</f>
        <v>35000</v>
      </c>
      <c r="F35" s="25">
        <f>IF(3&gt;Parameters!$C$153, Parameters!$C$147*(1+Parameters!$C$12)^2, 0)</f>
        <v>35000</v>
      </c>
      <c r="G35" s="25">
        <f>IF(4&gt;Parameters!$C$153, Parameters!$C$147*(1+Parameters!$C$12)^3, 0)</f>
        <v>35000</v>
      </c>
      <c r="H35" s="25">
        <f>IF(5&gt;Parameters!$C$153, Parameters!$C$147*(1+Parameters!$C$12)^4, 0)</f>
        <v>35000</v>
      </c>
      <c r="I35" s="25">
        <f>IF(6&gt;Parameters!$C$153, Parameters!$C$147*(1+Parameters!$C$12)^5, 0)</f>
        <v>35000</v>
      </c>
      <c r="J35" s="25">
        <f>IF(7&gt;Parameters!$C$153, Parameters!$C$147*(1+Parameters!$C$12)^6, 0)</f>
        <v>35000</v>
      </c>
      <c r="K35" s="25">
        <f>IF(8&gt;Parameters!$C$153, Parameters!$C$147*(1+Parameters!$C$12)^7, 0)</f>
        <v>35000</v>
      </c>
      <c r="L35" s="25">
        <f>IF(9&gt;Parameters!$C$153, Parameters!$C$147*(1+Parameters!$C$12)^8, 0)</f>
        <v>35000</v>
      </c>
      <c r="M35" s="25">
        <f>IF(10&gt;Parameters!$C$153, Parameters!$C$147*(1+Parameters!$C$12)^9, 0)</f>
        <v>35000</v>
      </c>
      <c r="N35" s="25">
        <f>IF(11&gt;Parameters!$C$153, Parameters!$C$147*(1+Parameters!$C$12)^10, 0)</f>
        <v>35000</v>
      </c>
      <c r="O35" s="25">
        <f>IF(12&gt;Parameters!$C$153, Parameters!$C$147*(1+Parameters!$C$12)^11, 0)</f>
        <v>35000</v>
      </c>
      <c r="P35" s="25">
        <f>IF(13&gt;Parameters!$C$153, Parameters!$C$147*(1+Parameters!$C$12)^12, 0)</f>
        <v>35000</v>
      </c>
      <c r="Q35" s="25">
        <f>IF(14&gt;Parameters!$C$153, Parameters!$C$147*(1+Parameters!$C$12)^13, 0)</f>
        <v>35000</v>
      </c>
      <c r="R35" s="25">
        <f>IF(15&gt;Parameters!$C$153, Parameters!$C$147*(1+Parameters!$C$12)^14, 0)</f>
        <v>35000</v>
      </c>
      <c r="S35" s="25">
        <f>IF(16&gt;Parameters!$C$153, Parameters!$C$147*(1+Parameters!$C$12)^15, 0)</f>
        <v>35000</v>
      </c>
      <c r="T35" s="25">
        <f>IF(17&gt;Parameters!$C$153, Parameters!$C$147*(1+Parameters!$C$12)^16, 0)</f>
        <v>35000</v>
      </c>
      <c r="U35" s="25">
        <f>IF(18&gt;Parameters!$C$153, Parameters!$C$147*(1+Parameters!$C$12)^17, 0)</f>
        <v>35000</v>
      </c>
      <c r="V35" s="25">
        <f>IF(19&gt;Parameters!$C$153, Parameters!$C$147*(1+Parameters!$C$12)^18, 0)</f>
        <v>35000</v>
      </c>
      <c r="W35" s="25">
        <f>IF(20&gt;Parameters!$C$153, Parameters!$C$147*(1+Parameters!$C$12)^19, 0)</f>
        <v>35000</v>
      </c>
      <c r="X35" s="25">
        <f>IF(21&gt;Parameters!$C$153, Parameters!$C$147*(1+Parameters!$C$12)^20, 0)</f>
        <v>35000</v>
      </c>
      <c r="Y35" s="25">
        <f>IF(22&gt;Parameters!$C$153, Parameters!$C$147*(1+Parameters!$C$12)^21, 0)</f>
        <v>35000</v>
      </c>
      <c r="Z35" s="25">
        <f>IF(23&gt;Parameters!$C$153, Parameters!$C$147*(1+Parameters!$C$12)^22, 0)</f>
        <v>35000</v>
      </c>
      <c r="AA35" s="25">
        <f>IF(24&gt;Parameters!$C$153, Parameters!$C$147*(1+Parameters!$C$12)^23, 0)</f>
        <v>35000</v>
      </c>
      <c r="AB35" s="25">
        <f>IF(25&gt;Parameters!$C$153, Parameters!$C$147*(1+Parameters!$C$12)^24, 0)</f>
        <v>35000</v>
      </c>
      <c r="AC35" s="25">
        <f>IF(26&gt;Parameters!$C$153, Parameters!$C$147*(1+Parameters!$C$12)^25, 0)</f>
        <v>35000</v>
      </c>
      <c r="AD35" s="25">
        <f>IF(27&gt;Parameters!$C$153, Parameters!$C$147*(1+Parameters!$C$12)^26, 0)</f>
        <v>35000</v>
      </c>
      <c r="AE35" s="25">
        <f>IF(28&gt;Parameters!$C$153, Parameters!$C$147*(1+Parameters!$C$12)^27, 0)</f>
        <v>35000</v>
      </c>
      <c r="AF35" s="25">
        <f>IF(29&gt;Parameters!$C$153, Parameters!$C$147*(1+Parameters!$C$12)^28, 0)</f>
        <v>35000</v>
      </c>
      <c r="AG35" s="25">
        <f>IF(30&gt;Parameters!$C$153, Parameters!$C$147*(1+Parameters!$C$12)^29, 0)</f>
        <v>35000</v>
      </c>
    </row>
    <row r="36" spans="2:33" ht="15" customHeight="1" x14ac:dyDescent="0.2">
      <c r="B36" t="s">
        <v>707</v>
      </c>
      <c r="D36" s="25">
        <f>IF(1&gt;(Parameters!$C$153+Parameters!$C$152), -Parameters!$C$148*(1+Parameters!$C$12)^0, 0)</f>
        <v>0</v>
      </c>
      <c r="E36" s="25">
        <f>IF(2&gt;(Parameters!$C$153+Parameters!$C$152), -Parameters!$C$148*(1+Parameters!$C$12)^1, 0)</f>
        <v>0</v>
      </c>
      <c r="F36" s="25">
        <f>IF(3&gt;(Parameters!$C$153+Parameters!$C$152), -Parameters!$C$148*(1+Parameters!$C$12)^2, 0)</f>
        <v>-5000</v>
      </c>
      <c r="G36" s="25">
        <f>IF(4&gt;(Parameters!$C$153+Parameters!$C$152), -Parameters!$C$148*(1+Parameters!$C$12)^3, 0)</f>
        <v>-5000</v>
      </c>
      <c r="H36" s="25">
        <f>IF(5&gt;(Parameters!$C$153+Parameters!$C$152), -Parameters!$C$148*(1+Parameters!$C$12)^4, 0)</f>
        <v>-5000</v>
      </c>
      <c r="I36" s="25">
        <f>IF(6&gt;(Parameters!$C$153+Parameters!$C$152), -Parameters!$C$148*(1+Parameters!$C$12)^5, 0)</f>
        <v>-5000</v>
      </c>
      <c r="J36" s="25">
        <f>IF(7&gt;(Parameters!$C$153+Parameters!$C$152), -Parameters!$C$148*(1+Parameters!$C$12)^6, 0)</f>
        <v>-5000</v>
      </c>
      <c r="K36" s="25">
        <f>IF(8&gt;(Parameters!$C$153+Parameters!$C$152), -Parameters!$C$148*(1+Parameters!$C$12)^7, 0)</f>
        <v>-5000</v>
      </c>
      <c r="L36" s="25">
        <f>IF(9&gt;(Parameters!$C$153+Parameters!$C$152), -Parameters!$C$148*(1+Parameters!$C$12)^8, 0)</f>
        <v>-5000</v>
      </c>
      <c r="M36" s="25">
        <f>IF(10&gt;(Parameters!$C$153+Parameters!$C$152), -Parameters!$C$148*(1+Parameters!$C$12)^9, 0)</f>
        <v>-5000</v>
      </c>
      <c r="N36" s="25">
        <f>IF(11&gt;(Parameters!$C$153+Parameters!$C$152), -Parameters!$C$148*(1+Parameters!$C$12)^10, 0)</f>
        <v>-5000</v>
      </c>
      <c r="O36" s="25">
        <f>IF(12&gt;(Parameters!$C$153+Parameters!$C$152), -Parameters!$C$148*(1+Parameters!$C$12)^11, 0)</f>
        <v>-5000</v>
      </c>
      <c r="P36" s="25">
        <f>IF(13&gt;(Parameters!$C$153+Parameters!$C$152), -Parameters!$C$148*(1+Parameters!$C$12)^12, 0)</f>
        <v>-5000</v>
      </c>
      <c r="Q36" s="25">
        <f>IF(14&gt;(Parameters!$C$153+Parameters!$C$152), -Parameters!$C$148*(1+Parameters!$C$12)^13, 0)</f>
        <v>-5000</v>
      </c>
      <c r="R36" s="25">
        <f>IF(15&gt;(Parameters!$C$153+Parameters!$C$152), -Parameters!$C$148*(1+Parameters!$C$12)^14, 0)</f>
        <v>-5000</v>
      </c>
      <c r="S36" s="25">
        <f>IF(16&gt;(Parameters!$C$153+Parameters!$C$152), -Parameters!$C$148*(1+Parameters!$C$12)^15, 0)</f>
        <v>-5000</v>
      </c>
      <c r="T36" s="25">
        <f>IF(17&gt;(Parameters!$C$153+Parameters!$C$152), -Parameters!$C$148*(1+Parameters!$C$12)^16, 0)</f>
        <v>-5000</v>
      </c>
      <c r="U36" s="25">
        <f>IF(18&gt;(Parameters!$C$153+Parameters!$C$152), -Parameters!$C$148*(1+Parameters!$C$12)^17, 0)</f>
        <v>-5000</v>
      </c>
      <c r="V36" s="25">
        <f>IF(19&gt;(Parameters!$C$153+Parameters!$C$152), -Parameters!$C$148*(1+Parameters!$C$12)^18, 0)</f>
        <v>-5000</v>
      </c>
      <c r="W36" s="25">
        <f>IF(20&gt;(Parameters!$C$153+Parameters!$C$152), -Parameters!$C$148*(1+Parameters!$C$12)^19, 0)</f>
        <v>-5000</v>
      </c>
      <c r="X36" s="25">
        <f>IF(21&gt;(Parameters!$C$153+Parameters!$C$152), -Parameters!$C$148*(1+Parameters!$C$12)^20, 0)</f>
        <v>-5000</v>
      </c>
      <c r="Y36" s="25">
        <f>IF(22&gt;(Parameters!$C$153+Parameters!$C$152), -Parameters!$C$148*(1+Parameters!$C$12)^21, 0)</f>
        <v>-5000</v>
      </c>
      <c r="Z36" s="25">
        <f>IF(23&gt;(Parameters!$C$153+Parameters!$C$152), -Parameters!$C$148*(1+Parameters!$C$12)^22, 0)</f>
        <v>-5000</v>
      </c>
      <c r="AA36" s="25">
        <f>IF(24&gt;(Parameters!$C$153+Parameters!$C$152), -Parameters!$C$148*(1+Parameters!$C$12)^23, 0)</f>
        <v>-5000</v>
      </c>
      <c r="AB36" s="25">
        <f>IF(25&gt;(Parameters!$C$153+Parameters!$C$152), -Parameters!$C$148*(1+Parameters!$C$12)^24, 0)</f>
        <v>-5000</v>
      </c>
      <c r="AC36" s="25">
        <f>IF(26&gt;(Parameters!$C$153+Parameters!$C$152), -Parameters!$C$148*(1+Parameters!$C$12)^25, 0)</f>
        <v>-5000</v>
      </c>
      <c r="AD36" s="25">
        <f>IF(27&gt;(Parameters!$C$153+Parameters!$C$152), -Parameters!$C$148*(1+Parameters!$C$12)^26, 0)</f>
        <v>-5000</v>
      </c>
      <c r="AE36" s="25">
        <f>IF(28&gt;(Parameters!$C$153+Parameters!$C$152), -Parameters!$C$148*(1+Parameters!$C$12)^27, 0)</f>
        <v>-5000</v>
      </c>
      <c r="AF36" s="25">
        <f>IF(29&gt;(Parameters!$C$153+Parameters!$C$152), -Parameters!$C$148*(1+Parameters!$C$12)^28, 0)</f>
        <v>-5000</v>
      </c>
      <c r="AG36" s="25">
        <f>IF(30&gt;(Parameters!$C$153+Parameters!$C$152), -Parameters!$C$148*(1+Parameters!$C$12)^29, 0)</f>
        <v>-5000</v>
      </c>
    </row>
    <row r="37" spans="2:33" ht="15" customHeight="1" x14ac:dyDescent="0.2">
      <c r="B37" t="s">
        <v>684</v>
      </c>
      <c r="D37" s="25">
        <f>Parameters!$C$131+Parameters!$C$142*Parameters!$C$153</f>
        <v>45000</v>
      </c>
      <c r="E37" s="81">
        <v>0</v>
      </c>
      <c r="F37" s="81">
        <v>0</v>
      </c>
      <c r="G37" s="81">
        <v>0</v>
      </c>
      <c r="H37" s="81">
        <v>0</v>
      </c>
      <c r="I37" s="81">
        <v>0</v>
      </c>
      <c r="J37" s="81">
        <v>0</v>
      </c>
      <c r="K37" s="81">
        <v>0</v>
      </c>
      <c r="L37" s="81">
        <v>0</v>
      </c>
      <c r="M37" s="81">
        <v>0</v>
      </c>
      <c r="N37" s="81">
        <v>0</v>
      </c>
      <c r="O37" s="81">
        <v>0</v>
      </c>
      <c r="P37" s="81">
        <v>0</v>
      </c>
      <c r="Q37" s="81">
        <v>0</v>
      </c>
      <c r="R37" s="81">
        <v>0</v>
      </c>
      <c r="S37" s="81">
        <v>0</v>
      </c>
      <c r="T37" s="81">
        <v>0</v>
      </c>
      <c r="U37" s="81">
        <v>0</v>
      </c>
      <c r="V37" s="81">
        <v>0</v>
      </c>
      <c r="W37" s="81">
        <v>0</v>
      </c>
      <c r="X37" s="81">
        <v>0</v>
      </c>
      <c r="Y37" s="81">
        <v>0</v>
      </c>
      <c r="Z37" s="81">
        <v>0</v>
      </c>
      <c r="AA37" s="81">
        <v>0</v>
      </c>
      <c r="AB37" s="81">
        <v>0</v>
      </c>
      <c r="AC37" s="81">
        <v>0</v>
      </c>
      <c r="AD37" s="81">
        <v>0</v>
      </c>
      <c r="AE37" s="81">
        <v>0</v>
      </c>
      <c r="AF37" s="81">
        <v>0</v>
      </c>
      <c r="AG37" s="81">
        <v>0</v>
      </c>
    </row>
    <row r="38" spans="2:33" ht="15" customHeight="1" x14ac:dyDescent="0.2">
      <c r="B38" s="63" t="s">
        <v>685</v>
      </c>
      <c r="C38" s="63"/>
      <c r="D38" s="64">
        <f t="shared" ref="D38:AG38" si="0">D30+D31+D32+D33+D34+D35+D36+D37</f>
        <v>1524111.9458765453</v>
      </c>
      <c r="E38" s="64">
        <f t="shared" si="0"/>
        <v>1607872.9458765453</v>
      </c>
      <c r="F38" s="64">
        <f t="shared" si="0"/>
        <v>1634233.9422145539</v>
      </c>
      <c r="G38" s="64">
        <f t="shared" si="0"/>
        <v>1634233.9422145539</v>
      </c>
      <c r="H38" s="64">
        <f t="shared" si="0"/>
        <v>1634233.9422145539</v>
      </c>
      <c r="I38" s="64">
        <f t="shared" si="0"/>
        <v>1634233.9422145539</v>
      </c>
      <c r="J38" s="64">
        <f t="shared" si="0"/>
        <v>1634233.9422145539</v>
      </c>
      <c r="K38" s="64">
        <f t="shared" si="0"/>
        <v>1634233.9422145539</v>
      </c>
      <c r="L38" s="64">
        <f t="shared" si="0"/>
        <v>1634233.9422145539</v>
      </c>
      <c r="M38" s="64">
        <f t="shared" si="0"/>
        <v>1634233.9422145539</v>
      </c>
      <c r="N38" s="64">
        <f t="shared" si="0"/>
        <v>1634233.9422145539</v>
      </c>
      <c r="O38" s="64">
        <f t="shared" si="0"/>
        <v>1634233.9422145539</v>
      </c>
      <c r="P38" s="64">
        <f t="shared" si="0"/>
        <v>1634233.9422145539</v>
      </c>
      <c r="Q38" s="64">
        <f t="shared" si="0"/>
        <v>1634233.9422145539</v>
      </c>
      <c r="R38" s="64">
        <f t="shared" si="0"/>
        <v>1634233.9422145539</v>
      </c>
      <c r="S38" s="64">
        <f t="shared" si="0"/>
        <v>1634233.9422145539</v>
      </c>
      <c r="T38" s="64">
        <f t="shared" si="0"/>
        <v>1634233.9422145539</v>
      </c>
      <c r="U38" s="64">
        <f t="shared" si="0"/>
        <v>1634233.9422145539</v>
      </c>
      <c r="V38" s="64">
        <f t="shared" si="0"/>
        <v>1634233.9422145539</v>
      </c>
      <c r="W38" s="64">
        <f t="shared" si="0"/>
        <v>1634233.9422145539</v>
      </c>
      <c r="X38" s="64">
        <f t="shared" si="0"/>
        <v>1634233.9422145539</v>
      </c>
      <c r="Y38" s="64">
        <f t="shared" si="0"/>
        <v>1634233.9422145539</v>
      </c>
      <c r="Z38" s="64">
        <f t="shared" si="0"/>
        <v>1634233.9422145539</v>
      </c>
      <c r="AA38" s="64">
        <f t="shared" si="0"/>
        <v>1634233.9422145539</v>
      </c>
      <c r="AB38" s="64">
        <f t="shared" si="0"/>
        <v>1634233.9422145539</v>
      </c>
      <c r="AC38" s="64">
        <f t="shared" si="0"/>
        <v>1634233.9422145539</v>
      </c>
      <c r="AD38" s="64">
        <f t="shared" si="0"/>
        <v>1634233.9422145539</v>
      </c>
      <c r="AE38" s="64">
        <f t="shared" si="0"/>
        <v>1634233.9422145539</v>
      </c>
      <c r="AF38" s="64">
        <f t="shared" si="0"/>
        <v>1634233.9422145539</v>
      </c>
      <c r="AG38" s="64">
        <f t="shared" si="0"/>
        <v>1634233.9422145539</v>
      </c>
    </row>
    <row r="39" spans="2:33" ht="15" customHeight="1" x14ac:dyDescent="0.2">
      <c r="B39" t="s">
        <v>686</v>
      </c>
      <c r="D39" s="22">
        <f>-Benefits!D37</f>
        <v>0</v>
      </c>
      <c r="E39" s="22">
        <f>-Benefits!E37</f>
        <v>0</v>
      </c>
      <c r="F39" s="22">
        <f>-Benefits!F37</f>
        <v>-361785.71428571426</v>
      </c>
      <c r="G39" s="22">
        <f>-Benefits!G37</f>
        <v>-361785.71428571426</v>
      </c>
      <c r="H39" s="22">
        <f>-Benefits!H37</f>
        <v>-361785.71428571426</v>
      </c>
      <c r="I39" s="22">
        <f>-Benefits!I37</f>
        <v>-361785.71428571426</v>
      </c>
      <c r="J39" s="22">
        <f>-Benefits!J37</f>
        <v>-361785.71428571426</v>
      </c>
      <c r="K39" s="22">
        <f>-Benefits!K37</f>
        <v>-361785.71428571426</v>
      </c>
      <c r="L39" s="22">
        <f>-Benefits!L37</f>
        <v>-361785.71428571426</v>
      </c>
      <c r="M39" s="22">
        <f>-Benefits!M37</f>
        <v>-361785.71428571426</v>
      </c>
      <c r="N39" s="22">
        <f>-Benefits!N37</f>
        <v>-361785.71428571426</v>
      </c>
      <c r="O39" s="22">
        <f>-Benefits!O37</f>
        <v>-361785.71428571426</v>
      </c>
      <c r="P39" s="22">
        <f>-Benefits!P37</f>
        <v>-361785.71428571426</v>
      </c>
      <c r="Q39" s="22">
        <f>-Benefits!Q37</f>
        <v>-361785.71428571426</v>
      </c>
      <c r="R39" s="22">
        <f>-Benefits!R37</f>
        <v>-361785.71428571426</v>
      </c>
      <c r="S39" s="22">
        <f>-Benefits!S37</f>
        <v>-361785.71428571426</v>
      </c>
      <c r="T39" s="22">
        <f>-Benefits!T37</f>
        <v>-361785.71428571426</v>
      </c>
      <c r="U39" s="22">
        <f>-Benefits!U37</f>
        <v>-361785.71428571426</v>
      </c>
      <c r="V39" s="22">
        <f>-Benefits!V37</f>
        <v>-361785.71428571426</v>
      </c>
      <c r="W39" s="22">
        <f>-Benefits!W37</f>
        <v>-361785.71428571426</v>
      </c>
      <c r="X39" s="22">
        <f>-Benefits!X37</f>
        <v>-361785.71428571426</v>
      </c>
      <c r="Y39" s="22">
        <f>-Benefits!Y37</f>
        <v>-361785.71428571426</v>
      </c>
      <c r="Z39" s="22">
        <f>-Benefits!Z37</f>
        <v>-361785.71428571426</v>
      </c>
      <c r="AA39" s="22">
        <f>-Benefits!AA37</f>
        <v>-361785.71428571426</v>
      </c>
      <c r="AB39" s="22">
        <f>-Benefits!AB37</f>
        <v>-361785.71428571426</v>
      </c>
      <c r="AC39" s="22">
        <f>-Benefits!AC37</f>
        <v>-361785.71428571426</v>
      </c>
      <c r="AD39" s="22">
        <f>-Benefits!AD37</f>
        <v>-361785.71428571426</v>
      </c>
      <c r="AE39" s="22">
        <f>-Benefits!AE37</f>
        <v>-361785.71428571426</v>
      </c>
      <c r="AF39" s="22">
        <f>-Benefits!AF37</f>
        <v>-361785.71428571426</v>
      </c>
      <c r="AG39" s="22">
        <f>-Benefits!AG37</f>
        <v>0</v>
      </c>
    </row>
    <row r="40" spans="2:33" ht="15" customHeight="1" x14ac:dyDescent="0.2">
      <c r="B40" s="63" t="s">
        <v>687</v>
      </c>
      <c r="C40" s="63"/>
      <c r="D40" s="64">
        <f t="shared" ref="D40:AG40" si="1">D38+D39</f>
        <v>1524111.9458765453</v>
      </c>
      <c r="E40" s="64">
        <f t="shared" si="1"/>
        <v>1607872.9458765453</v>
      </c>
      <c r="F40" s="64">
        <f t="shared" si="1"/>
        <v>1272448.2279288396</v>
      </c>
      <c r="G40" s="64">
        <f t="shared" si="1"/>
        <v>1272448.2279288396</v>
      </c>
      <c r="H40" s="64">
        <f t="shared" si="1"/>
        <v>1272448.2279288396</v>
      </c>
      <c r="I40" s="64">
        <f t="shared" si="1"/>
        <v>1272448.2279288396</v>
      </c>
      <c r="J40" s="64">
        <f t="shared" si="1"/>
        <v>1272448.2279288396</v>
      </c>
      <c r="K40" s="64">
        <f t="shared" si="1"/>
        <v>1272448.2279288396</v>
      </c>
      <c r="L40" s="64">
        <f t="shared" si="1"/>
        <v>1272448.2279288396</v>
      </c>
      <c r="M40" s="64">
        <f t="shared" si="1"/>
        <v>1272448.2279288396</v>
      </c>
      <c r="N40" s="64">
        <f t="shared" si="1"/>
        <v>1272448.2279288396</v>
      </c>
      <c r="O40" s="64">
        <f t="shared" si="1"/>
        <v>1272448.2279288396</v>
      </c>
      <c r="P40" s="64">
        <f t="shared" si="1"/>
        <v>1272448.2279288396</v>
      </c>
      <c r="Q40" s="64">
        <f t="shared" si="1"/>
        <v>1272448.2279288396</v>
      </c>
      <c r="R40" s="64">
        <f t="shared" si="1"/>
        <v>1272448.2279288396</v>
      </c>
      <c r="S40" s="64">
        <f t="shared" si="1"/>
        <v>1272448.2279288396</v>
      </c>
      <c r="T40" s="64">
        <f t="shared" si="1"/>
        <v>1272448.2279288396</v>
      </c>
      <c r="U40" s="64">
        <f t="shared" si="1"/>
        <v>1272448.2279288396</v>
      </c>
      <c r="V40" s="64">
        <f t="shared" si="1"/>
        <v>1272448.2279288396</v>
      </c>
      <c r="W40" s="64">
        <f t="shared" si="1"/>
        <v>1272448.2279288396</v>
      </c>
      <c r="X40" s="64">
        <f t="shared" si="1"/>
        <v>1272448.2279288396</v>
      </c>
      <c r="Y40" s="64">
        <f t="shared" si="1"/>
        <v>1272448.2279288396</v>
      </c>
      <c r="Z40" s="64">
        <f t="shared" si="1"/>
        <v>1272448.2279288396</v>
      </c>
      <c r="AA40" s="64">
        <f t="shared" si="1"/>
        <v>1272448.2279288396</v>
      </c>
      <c r="AB40" s="64">
        <f t="shared" si="1"/>
        <v>1272448.2279288396</v>
      </c>
      <c r="AC40" s="64">
        <f t="shared" si="1"/>
        <v>1272448.2279288396</v>
      </c>
      <c r="AD40" s="64">
        <f t="shared" si="1"/>
        <v>1272448.2279288396</v>
      </c>
      <c r="AE40" s="64">
        <f t="shared" si="1"/>
        <v>1272448.2279288396</v>
      </c>
      <c r="AF40" s="64">
        <f t="shared" si="1"/>
        <v>1272448.2279288396</v>
      </c>
      <c r="AG40" s="64">
        <f t="shared" si="1"/>
        <v>1634233.9422145539</v>
      </c>
    </row>
  </sheetData>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G42"/>
  <sheetViews>
    <sheetView zoomScaleNormal="100" workbookViewId="0">
      <selection activeCell="C9" sqref="C9"/>
    </sheetView>
  </sheetViews>
  <sheetFormatPr baseColWidth="10" defaultColWidth="8.6640625" defaultRowHeight="15" x14ac:dyDescent="0.2"/>
  <cols>
    <col min="1" max="1" width="4" customWidth="1"/>
    <col min="2" max="2" width="42" customWidth="1"/>
    <col min="3" max="3" width="14" customWidth="1"/>
    <col min="4" max="4" width="15.83203125" customWidth="1"/>
    <col min="5" max="5" width="16.6640625" customWidth="1"/>
    <col min="6" max="6" width="16" customWidth="1"/>
    <col min="7" max="7" width="14.1640625" customWidth="1"/>
    <col min="8" max="33" width="11" customWidth="1"/>
  </cols>
  <sheetData>
    <row r="1" spans="2:33" ht="17.25" customHeight="1" x14ac:dyDescent="0.2">
      <c r="B1" s="11" t="s">
        <v>724</v>
      </c>
    </row>
    <row r="2" spans="2:33" ht="30" customHeight="1" x14ac:dyDescent="0.2">
      <c r="B2" s="85" t="s">
        <v>725</v>
      </c>
    </row>
    <row r="4" spans="2:33" ht="15" customHeight="1" x14ac:dyDescent="0.2">
      <c r="B4" s="86" t="s">
        <v>631</v>
      </c>
      <c r="D4" s="87" t="s">
        <v>567</v>
      </c>
      <c r="E4" s="88" t="s">
        <v>632</v>
      </c>
      <c r="F4" s="87" t="s">
        <v>665</v>
      </c>
      <c r="G4" s="88" t="s">
        <v>634</v>
      </c>
      <c r="H4" s="87" t="s">
        <v>635</v>
      </c>
      <c r="I4" s="89"/>
    </row>
    <row r="5" spans="2:33" ht="15" customHeight="1" x14ac:dyDescent="0.2">
      <c r="D5" s="90">
        <f>-NPV(Parameters!$C$9,D40:AG40)</f>
        <v>-22490992.094195765</v>
      </c>
      <c r="E5" s="93">
        <f>-NPV(Parameters!$C$9,D42:AG42)</f>
        <v>-20612985.187696278</v>
      </c>
      <c r="F5" s="90">
        <f>-C27</f>
        <v>-8127217.5</v>
      </c>
      <c r="G5" s="94">
        <f>C26</f>
        <v>7627217.5</v>
      </c>
      <c r="H5" s="91">
        <f>PMT(Parameters!$C$14,Parameters!$C$15,-C26)</f>
        <v>468246.65042442252</v>
      </c>
      <c r="I5" s="95"/>
    </row>
    <row r="6" spans="2:33" ht="15" customHeight="1" x14ac:dyDescent="0.2">
      <c r="B6" s="48" t="s">
        <v>636</v>
      </c>
      <c r="C6" s="48" t="s">
        <v>637</v>
      </c>
      <c r="D6" s="79">
        <f>Parameters!$C$8+0</f>
        <v>2027</v>
      </c>
      <c r="E6" s="79">
        <f>Parameters!$C$8+1</f>
        <v>2028</v>
      </c>
      <c r="F6" s="79">
        <f>Parameters!$C$8+2</f>
        <v>2029</v>
      </c>
      <c r="G6" s="79">
        <f>Parameters!$C$8+3</f>
        <v>2030</v>
      </c>
      <c r="H6" s="79">
        <f>Parameters!$C$8+4</f>
        <v>2031</v>
      </c>
      <c r="I6" s="79">
        <f>Parameters!$C$8+5</f>
        <v>2032</v>
      </c>
      <c r="J6" s="79">
        <f>Parameters!$C$8+6</f>
        <v>2033</v>
      </c>
      <c r="K6" s="79">
        <f>Parameters!$C$8+7</f>
        <v>2034</v>
      </c>
      <c r="L6" s="79">
        <f>Parameters!$C$8+8</f>
        <v>2035</v>
      </c>
      <c r="M6" s="79">
        <f>Parameters!$C$8+9</f>
        <v>2036</v>
      </c>
      <c r="N6" s="79">
        <f>Parameters!$C$8+10</f>
        <v>2037</v>
      </c>
      <c r="O6" s="79">
        <f>Parameters!$C$8+11</f>
        <v>2038</v>
      </c>
      <c r="P6" s="79">
        <f>Parameters!$C$8+12</f>
        <v>2039</v>
      </c>
      <c r="Q6" s="79">
        <f>Parameters!$C$8+13</f>
        <v>2040</v>
      </c>
      <c r="R6" s="79">
        <f>Parameters!$C$8+14</f>
        <v>2041</v>
      </c>
      <c r="S6" s="79">
        <f>Parameters!$C$8+15</f>
        <v>2042</v>
      </c>
      <c r="T6" s="79">
        <f>Parameters!$C$8+16</f>
        <v>2043</v>
      </c>
      <c r="U6" s="79">
        <f>Parameters!$C$8+17</f>
        <v>2044</v>
      </c>
      <c r="V6" s="79">
        <f>Parameters!$C$8+18</f>
        <v>2045</v>
      </c>
      <c r="W6" s="79">
        <f>Parameters!$C$8+19</f>
        <v>2046</v>
      </c>
      <c r="X6" s="79">
        <f>Parameters!$C$8+20</f>
        <v>2047</v>
      </c>
      <c r="Y6" s="79">
        <f>Parameters!$C$8+21</f>
        <v>2048</v>
      </c>
      <c r="Z6" s="79">
        <f>Parameters!$C$8+22</f>
        <v>2049</v>
      </c>
      <c r="AA6" s="79">
        <f>Parameters!$C$8+23</f>
        <v>2050</v>
      </c>
      <c r="AB6" s="79">
        <f>Parameters!$C$8+24</f>
        <v>2051</v>
      </c>
      <c r="AC6" s="79">
        <f>Parameters!$C$8+25</f>
        <v>2052</v>
      </c>
      <c r="AD6" s="79">
        <f>Parameters!$C$8+26</f>
        <v>2053</v>
      </c>
      <c r="AE6" s="79">
        <f>Parameters!$C$8+27</f>
        <v>2054</v>
      </c>
      <c r="AF6" s="79">
        <f>Parameters!$C$8+28</f>
        <v>2055</v>
      </c>
      <c r="AG6" s="79">
        <f>Parameters!$C$8+29</f>
        <v>2056</v>
      </c>
    </row>
    <row r="7" spans="2:33" ht="15" customHeight="1" x14ac:dyDescent="0.2">
      <c r="B7" s="16" t="s">
        <v>710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2:33" ht="15" customHeight="1" x14ac:dyDescent="0.2">
      <c r="B8" t="s">
        <v>433</v>
      </c>
      <c r="C8" s="96">
        <f>Parameters!$C$122</f>
        <v>1000000</v>
      </c>
    </row>
    <row r="9" spans="2:33" ht="15" customHeight="1" x14ac:dyDescent="0.2">
      <c r="B9" t="s">
        <v>711</v>
      </c>
      <c r="C9" s="25">
        <f>Parameters!$C$123*Parameters!$C$124</f>
        <v>5000000</v>
      </c>
      <c r="E9" s="19" t="s">
        <v>712</v>
      </c>
    </row>
    <row r="10" spans="2:33" ht="15" customHeight="1" x14ac:dyDescent="0.2">
      <c r="B10" t="s">
        <v>713</v>
      </c>
      <c r="C10" s="18">
        <f>Parameters!$C$125</f>
        <v>500000</v>
      </c>
    </row>
    <row r="11" spans="2:33" ht="15" customHeight="1" x14ac:dyDescent="0.2">
      <c r="B11" t="s">
        <v>603</v>
      </c>
      <c r="C11" s="18">
        <f>Parameters!$C$126</f>
        <v>400000</v>
      </c>
    </row>
    <row r="12" spans="2:33" ht="15" customHeight="1" x14ac:dyDescent="0.2">
      <c r="B12" s="63" t="s">
        <v>714</v>
      </c>
      <c r="C12" s="64">
        <f>SUM(C8:C11)</f>
        <v>6900000</v>
      </c>
    </row>
    <row r="14" spans="2:33" ht="15" customHeight="1" x14ac:dyDescent="0.2">
      <c r="B14" s="16" t="s">
        <v>726</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2:33" ht="15" customHeight="1" x14ac:dyDescent="0.2">
      <c r="B15" t="s">
        <v>639</v>
      </c>
      <c r="C15" s="98">
        <f>Parameters!$C$130</f>
        <v>90000</v>
      </c>
    </row>
    <row r="16" spans="2:33" ht="15" customHeight="1" x14ac:dyDescent="0.2">
      <c r="B16" t="s">
        <v>641</v>
      </c>
      <c r="C16" s="98">
        <f>Parameters!$C$131</f>
        <v>30000</v>
      </c>
    </row>
    <row r="17" spans="2:33" ht="15" customHeight="1" x14ac:dyDescent="0.2">
      <c r="B17" t="s">
        <v>642</v>
      </c>
      <c r="C17" s="99">
        <f>Parameters!$C$134</f>
        <v>30000</v>
      </c>
    </row>
    <row r="18" spans="2:33" ht="15" customHeight="1" x14ac:dyDescent="0.2">
      <c r="B18" s="63" t="s">
        <v>643</v>
      </c>
      <c r="C18" s="100">
        <f>Parameters!$C$135</f>
        <v>60000</v>
      </c>
    </row>
    <row r="19" spans="2:33" ht="15" customHeight="1" x14ac:dyDescent="0.2">
      <c r="B19" t="s">
        <v>645</v>
      </c>
      <c r="C19" s="101">
        <f>Parameters!$C$133</f>
        <v>10000</v>
      </c>
    </row>
    <row r="20" spans="2:33" ht="15" customHeight="1" x14ac:dyDescent="0.2">
      <c r="B20" s="63" t="s">
        <v>646</v>
      </c>
      <c r="C20" s="100">
        <f>Parameters!$C$132</f>
        <v>450000</v>
      </c>
    </row>
    <row r="21" spans="2:33" ht="15" customHeight="1" x14ac:dyDescent="0.2">
      <c r="B21" t="s">
        <v>727</v>
      </c>
      <c r="C21" s="102">
        <f>SUM(C15:C20)+SUM(C15:C20)*Parameters!$C$137</f>
        <v>804000</v>
      </c>
    </row>
    <row r="22" spans="2:33" ht="15" customHeight="1" x14ac:dyDescent="0.2">
      <c r="B22" t="s">
        <v>718</v>
      </c>
      <c r="C22" s="25">
        <f>(C12-C8)*(Parameters!$C$98+Parameters!$C$99+Parameters!$C$100)+Parameters!$C$102</f>
        <v>1114500</v>
      </c>
    </row>
    <row r="23" spans="2:33" ht="15" customHeight="1" x14ac:dyDescent="0.2">
      <c r="B23" s="63" t="s">
        <v>701</v>
      </c>
      <c r="C23" s="64">
        <f>C12+C22</f>
        <v>8014500</v>
      </c>
    </row>
    <row r="24" spans="2:33" ht="15" customHeight="1" x14ac:dyDescent="0.2">
      <c r="B24" t="s">
        <v>677</v>
      </c>
      <c r="C24" s="18">
        <f>-Parameters!$C$149</f>
        <v>-500000</v>
      </c>
    </row>
    <row r="25" spans="2:33" ht="15" customHeight="1" x14ac:dyDescent="0.2">
      <c r="B25" t="s">
        <v>678</v>
      </c>
      <c r="C25" s="25">
        <f>(C23+C24)*Parameters!$C$101</f>
        <v>112717.5</v>
      </c>
    </row>
    <row r="26" spans="2:33" ht="15" customHeight="1" x14ac:dyDescent="0.2">
      <c r="B26" s="63" t="s">
        <v>679</v>
      </c>
      <c r="C26" s="64">
        <f>C23+C24+C25</f>
        <v>7627217.5</v>
      </c>
    </row>
    <row r="27" spans="2:33" ht="15" customHeight="1" x14ac:dyDescent="0.2">
      <c r="B27" s="63" t="s">
        <v>49</v>
      </c>
      <c r="C27" s="64">
        <f>C23+C25</f>
        <v>8127217.5</v>
      </c>
    </row>
    <row r="29" spans="2:33" ht="15" customHeight="1" x14ac:dyDescent="0.2">
      <c r="B29" s="16" t="s">
        <v>680</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2:33" ht="15" customHeight="1" x14ac:dyDescent="0.2">
      <c r="B30" t="s">
        <v>579</v>
      </c>
      <c r="D30" s="25">
        <f>IF(1&lt;=Parameters!$C$15, PMT(Parameters!$C$14, Parameters!$C$15, -$C$26), 0)</f>
        <v>468246.65042442252</v>
      </c>
      <c r="E30" s="25">
        <f>IF(2&lt;=Parameters!$C$15, PMT(Parameters!$C$14, Parameters!$C$15, -$C$26), 0)</f>
        <v>468246.65042442252</v>
      </c>
      <c r="F30" s="25">
        <f>IF(3&lt;=Parameters!$C$15, PMT(Parameters!$C$14, Parameters!$C$15, -$C$26), 0)</f>
        <v>468246.65042442252</v>
      </c>
      <c r="G30" s="25">
        <f>IF(4&lt;=Parameters!$C$15, PMT(Parameters!$C$14, Parameters!$C$15, -$C$26), 0)</f>
        <v>468246.65042442252</v>
      </c>
      <c r="H30" s="25">
        <f>IF(5&lt;=Parameters!$C$15, PMT(Parameters!$C$14, Parameters!$C$15, -$C$26), 0)</f>
        <v>468246.65042442252</v>
      </c>
      <c r="I30" s="25">
        <f>IF(6&lt;=Parameters!$C$15, PMT(Parameters!$C$14, Parameters!$C$15, -$C$26), 0)</f>
        <v>468246.65042442252</v>
      </c>
      <c r="J30" s="25">
        <f>IF(7&lt;=Parameters!$C$15, PMT(Parameters!$C$14, Parameters!$C$15, -$C$26), 0)</f>
        <v>468246.65042442252</v>
      </c>
      <c r="K30" s="25">
        <f>IF(8&lt;=Parameters!$C$15, PMT(Parameters!$C$14, Parameters!$C$15, -$C$26), 0)</f>
        <v>468246.65042442252</v>
      </c>
      <c r="L30" s="25">
        <f>IF(9&lt;=Parameters!$C$15, PMT(Parameters!$C$14, Parameters!$C$15, -$C$26), 0)</f>
        <v>468246.65042442252</v>
      </c>
      <c r="M30" s="25">
        <f>IF(10&lt;=Parameters!$C$15, PMT(Parameters!$C$14, Parameters!$C$15, -$C$26), 0)</f>
        <v>468246.65042442252</v>
      </c>
      <c r="N30" s="25">
        <f>IF(11&lt;=Parameters!$C$15, PMT(Parameters!$C$14, Parameters!$C$15, -$C$26), 0)</f>
        <v>468246.65042442252</v>
      </c>
      <c r="O30" s="25">
        <f>IF(12&lt;=Parameters!$C$15, PMT(Parameters!$C$14, Parameters!$C$15, -$C$26), 0)</f>
        <v>468246.65042442252</v>
      </c>
      <c r="P30" s="25">
        <f>IF(13&lt;=Parameters!$C$15, PMT(Parameters!$C$14, Parameters!$C$15, -$C$26), 0)</f>
        <v>468246.65042442252</v>
      </c>
      <c r="Q30" s="25">
        <f>IF(14&lt;=Parameters!$C$15, PMT(Parameters!$C$14, Parameters!$C$15, -$C$26), 0)</f>
        <v>468246.65042442252</v>
      </c>
      <c r="R30" s="25">
        <f>IF(15&lt;=Parameters!$C$15, PMT(Parameters!$C$14, Parameters!$C$15, -$C$26), 0)</f>
        <v>468246.65042442252</v>
      </c>
      <c r="S30" s="25">
        <f>IF(16&lt;=Parameters!$C$15, PMT(Parameters!$C$14, Parameters!$C$15, -$C$26), 0)</f>
        <v>468246.65042442252</v>
      </c>
      <c r="T30" s="25">
        <f>IF(17&lt;=Parameters!$C$15, PMT(Parameters!$C$14, Parameters!$C$15, -$C$26), 0)</f>
        <v>468246.65042442252</v>
      </c>
      <c r="U30" s="25">
        <f>IF(18&lt;=Parameters!$C$15, PMT(Parameters!$C$14, Parameters!$C$15, -$C$26), 0)</f>
        <v>468246.65042442252</v>
      </c>
      <c r="V30" s="25">
        <f>IF(19&lt;=Parameters!$C$15, PMT(Parameters!$C$14, Parameters!$C$15, -$C$26), 0)</f>
        <v>468246.65042442252</v>
      </c>
      <c r="W30" s="25">
        <f>IF(20&lt;=Parameters!$C$15, PMT(Parameters!$C$14, Parameters!$C$15, -$C$26), 0)</f>
        <v>468246.65042442252</v>
      </c>
      <c r="X30" s="25">
        <f>IF(21&lt;=Parameters!$C$15, PMT(Parameters!$C$14, Parameters!$C$15, -$C$26), 0)</f>
        <v>468246.65042442252</v>
      </c>
      <c r="Y30" s="25">
        <f>IF(22&lt;=Parameters!$C$15, PMT(Parameters!$C$14, Parameters!$C$15, -$C$26), 0)</f>
        <v>468246.65042442252</v>
      </c>
      <c r="Z30" s="25">
        <f>IF(23&lt;=Parameters!$C$15, PMT(Parameters!$C$14, Parameters!$C$15, -$C$26), 0)</f>
        <v>468246.65042442252</v>
      </c>
      <c r="AA30" s="25">
        <f>IF(24&lt;=Parameters!$C$15, PMT(Parameters!$C$14, Parameters!$C$15, -$C$26), 0)</f>
        <v>468246.65042442252</v>
      </c>
      <c r="AB30" s="25">
        <f>IF(25&lt;=Parameters!$C$15, PMT(Parameters!$C$14, Parameters!$C$15, -$C$26), 0)</f>
        <v>468246.65042442252</v>
      </c>
      <c r="AC30" s="25">
        <f>IF(26&lt;=Parameters!$C$15, PMT(Parameters!$C$14, Parameters!$C$15, -$C$26), 0)</f>
        <v>468246.65042442252</v>
      </c>
      <c r="AD30" s="25">
        <f>IF(27&lt;=Parameters!$C$15, PMT(Parameters!$C$14, Parameters!$C$15, -$C$26), 0)</f>
        <v>468246.65042442252</v>
      </c>
      <c r="AE30" s="25">
        <f>IF(28&lt;=Parameters!$C$15, PMT(Parameters!$C$14, Parameters!$C$15, -$C$26), 0)</f>
        <v>468246.65042442252</v>
      </c>
      <c r="AF30" s="25">
        <f>IF(29&lt;=Parameters!$C$15, PMT(Parameters!$C$14, Parameters!$C$15, -$C$26), 0)</f>
        <v>468246.65042442252</v>
      </c>
      <c r="AG30" s="25">
        <f>IF(30&lt;=Parameters!$C$15, PMT(Parameters!$C$14, Parameters!$C$15, -$C$26), 0)</f>
        <v>468246.65042442252</v>
      </c>
    </row>
    <row r="31" spans="2:33" ht="15" customHeight="1" x14ac:dyDescent="0.2">
      <c r="B31" t="s">
        <v>728</v>
      </c>
      <c r="D31" s="25">
        <f>IF((1=Parameters!$C$165)*(Parameters!$C$164=1), Parameters!$C$166*(1+Parameters!$C$11)^0, 0)</f>
        <v>0</v>
      </c>
      <c r="E31" s="25">
        <f>IF((2=Parameters!$C$165)*(Parameters!$C$164=1), Parameters!$C$166*(1+Parameters!$C$11)^1, 0)</f>
        <v>0</v>
      </c>
      <c r="F31" s="25">
        <f>IF((3=Parameters!$C$165)*(Parameters!$C$164=1), Parameters!$C$166*(1+Parameters!$C$11)^2, 0)</f>
        <v>0</v>
      </c>
      <c r="G31" s="25">
        <f>IF((4=Parameters!$C$165)*(Parameters!$C$164=1), Parameters!$C$166*(1+Parameters!$C$11)^3, 0)</f>
        <v>0</v>
      </c>
      <c r="H31" s="25">
        <f>IF((5=Parameters!$C$165)*(Parameters!$C$164=1), Parameters!$C$166*(1+Parameters!$C$11)^4, 0)</f>
        <v>0</v>
      </c>
      <c r="I31" s="25">
        <f>IF((6=Parameters!$C$165)*(Parameters!$C$164=1), Parameters!$C$166*(1+Parameters!$C$11)^5, 0)</f>
        <v>0</v>
      </c>
      <c r="J31" s="25">
        <f>IF((7=Parameters!$C$165)*(Parameters!$C$164=1), Parameters!$C$166*(1+Parameters!$C$11)^6, 0)</f>
        <v>0</v>
      </c>
      <c r="K31" s="25">
        <f>IF((8=Parameters!$C$165)*(Parameters!$C$164=1), Parameters!$C$166*(1+Parameters!$C$11)^7, 0)</f>
        <v>0</v>
      </c>
      <c r="L31" s="25">
        <f>IF((9=Parameters!$C$165)*(Parameters!$C$164=1), Parameters!$C$166*(1+Parameters!$C$11)^8, 0)</f>
        <v>0</v>
      </c>
      <c r="M31" s="25">
        <f>IF((10=Parameters!$C$165)*(Parameters!$C$164=1), Parameters!$C$166*(1+Parameters!$C$11)^9, 0)</f>
        <v>0</v>
      </c>
      <c r="N31" s="25">
        <f>IF((11=Parameters!$C$165)*(Parameters!$C$164=1), Parameters!$C$166*(1+Parameters!$C$11)^10, 0)</f>
        <v>0</v>
      </c>
      <c r="O31" s="25">
        <f>IF((12=Parameters!$C$165)*(Parameters!$C$164=1), Parameters!$C$166*(1+Parameters!$C$11)^11, 0)</f>
        <v>0</v>
      </c>
      <c r="P31" s="25">
        <f>IF((13=Parameters!$C$165)*(Parameters!$C$164=1), Parameters!$C$166*(1+Parameters!$C$11)^12, 0)</f>
        <v>0</v>
      </c>
      <c r="Q31" s="25">
        <f>IF((14=Parameters!$C$165)*(Parameters!$C$164=1), Parameters!$C$166*(1+Parameters!$C$11)^13, 0)</f>
        <v>0</v>
      </c>
      <c r="R31" s="25">
        <f>IF((15=Parameters!$C$165)*(Parameters!$C$164=1), Parameters!$C$166*(1+Parameters!$C$11)^14, 0)</f>
        <v>0</v>
      </c>
      <c r="S31" s="25">
        <f>IF((16=Parameters!$C$165)*(Parameters!$C$164=1), Parameters!$C$166*(1+Parameters!$C$11)^15, 0)</f>
        <v>0</v>
      </c>
      <c r="T31" s="25">
        <f>IF((17=Parameters!$C$165)*(Parameters!$C$164=1), Parameters!$C$166*(1+Parameters!$C$11)^16, 0)</f>
        <v>0</v>
      </c>
      <c r="U31" s="25">
        <f>IF((18=Parameters!$C$165)*(Parameters!$C$164=1), Parameters!$C$166*(1+Parameters!$C$11)^17, 0)</f>
        <v>0</v>
      </c>
      <c r="V31" s="25">
        <f>IF((19=Parameters!$C$165)*(Parameters!$C$164=1), Parameters!$C$166*(1+Parameters!$C$11)^18, 0)</f>
        <v>0</v>
      </c>
      <c r="W31" s="25">
        <f>IF((20=Parameters!$C$165)*(Parameters!$C$164=1), Parameters!$C$166*(1+Parameters!$C$11)^19, 0)</f>
        <v>0</v>
      </c>
      <c r="X31" s="25">
        <f>IF((21=Parameters!$C$165)*(Parameters!$C$164=1), Parameters!$C$166*(1+Parameters!$C$11)^20, 0)</f>
        <v>0</v>
      </c>
      <c r="Y31" s="25">
        <f>IF((22=Parameters!$C$165)*(Parameters!$C$164=1), Parameters!$C$166*(1+Parameters!$C$11)^21, 0)</f>
        <v>0</v>
      </c>
      <c r="Z31" s="25">
        <f>IF((23=Parameters!$C$165)*(Parameters!$C$164=1), Parameters!$C$166*(1+Parameters!$C$11)^22, 0)</f>
        <v>0</v>
      </c>
      <c r="AA31" s="25">
        <f>IF((24=Parameters!$C$165)*(Parameters!$C$164=1), Parameters!$C$166*(1+Parameters!$C$11)^23, 0)</f>
        <v>0</v>
      </c>
      <c r="AB31" s="25">
        <f>IF((25=Parameters!$C$165)*(Parameters!$C$164=1), Parameters!$C$166*(1+Parameters!$C$11)^24, 0)</f>
        <v>0</v>
      </c>
      <c r="AC31" s="25">
        <f>IF((26=Parameters!$C$165)*(Parameters!$C$164=1), Parameters!$C$166*(1+Parameters!$C$11)^25, 0)</f>
        <v>0</v>
      </c>
      <c r="AD31" s="25">
        <f>IF((27=Parameters!$C$165)*(Parameters!$C$164=1), Parameters!$C$166*(1+Parameters!$C$11)^26, 0)</f>
        <v>0</v>
      </c>
      <c r="AE31" s="25">
        <f>IF((28=Parameters!$C$165)*(Parameters!$C$164=1), Parameters!$C$166*(1+Parameters!$C$11)^27, 0)</f>
        <v>0</v>
      </c>
      <c r="AF31" s="25">
        <f>IF((29=Parameters!$C$165)*(Parameters!$C$164=1), Parameters!$C$166*(1+Parameters!$C$11)^28, 0)</f>
        <v>0</v>
      </c>
      <c r="AG31" s="25">
        <f>IF((30=Parameters!$C$165)*(Parameters!$C$164=1), Parameters!$C$166*(1+Parameters!$C$11)^29, 0)</f>
        <v>10500000</v>
      </c>
    </row>
    <row r="32" spans="2:33" ht="15" customHeight="1" x14ac:dyDescent="0.2">
      <c r="B32" t="s">
        <v>729</v>
      </c>
      <c r="D32" s="25">
        <f>Parameters!$C$57*(1+Parameters!$C$12)^0</f>
        <v>101500</v>
      </c>
      <c r="E32" s="25">
        <f>Parameters!$C$57*(1+Parameters!$C$12)^1</f>
        <v>101500</v>
      </c>
      <c r="F32" s="25">
        <f>Parameters!$C$57*(1+Parameters!$C$12)^2</f>
        <v>101500</v>
      </c>
      <c r="G32" s="25">
        <f>Parameters!$C$57*(1+Parameters!$C$12)^3</f>
        <v>101500</v>
      </c>
      <c r="H32" s="25">
        <f>Parameters!$C$57*(1+Parameters!$C$12)^4</f>
        <v>101500</v>
      </c>
      <c r="I32" s="25">
        <f>Parameters!$C$57*(1+Parameters!$C$12)^5</f>
        <v>101500</v>
      </c>
      <c r="J32" s="25">
        <f>Parameters!$C$57*(1+Parameters!$C$12)^6</f>
        <v>101500</v>
      </c>
      <c r="K32" s="25">
        <f>Parameters!$C$57*(1+Parameters!$C$12)^7</f>
        <v>101500</v>
      </c>
      <c r="L32" s="25">
        <f>Parameters!$C$57*(1+Parameters!$C$12)^8</f>
        <v>101500</v>
      </c>
      <c r="M32" s="25">
        <f>Parameters!$C$57*(1+Parameters!$C$12)^9</f>
        <v>101500</v>
      </c>
      <c r="N32" s="25">
        <f>Parameters!$C$57*(1+Parameters!$C$12)^10</f>
        <v>101500</v>
      </c>
      <c r="O32" s="25">
        <f>Parameters!$C$57*(1+Parameters!$C$12)^11</f>
        <v>101500</v>
      </c>
      <c r="P32" s="25">
        <f>Parameters!$C$57*(1+Parameters!$C$12)^12</f>
        <v>101500</v>
      </c>
      <c r="Q32" s="25">
        <f>Parameters!$C$57*(1+Parameters!$C$12)^13</f>
        <v>101500</v>
      </c>
      <c r="R32" s="25">
        <f>Parameters!$C$57*(1+Parameters!$C$12)^14</f>
        <v>101500</v>
      </c>
      <c r="S32" s="25">
        <f>Parameters!$C$57*(1+Parameters!$C$12)^15</f>
        <v>101500</v>
      </c>
      <c r="T32" s="25">
        <f>Parameters!$C$57*(1+Parameters!$C$12)^16</f>
        <v>101500</v>
      </c>
      <c r="U32" s="25">
        <f>Parameters!$C$57*(1+Parameters!$C$12)^17</f>
        <v>101500</v>
      </c>
      <c r="V32" s="25">
        <f>Parameters!$C$57*(1+Parameters!$C$12)^18</f>
        <v>101500</v>
      </c>
      <c r="W32" s="25">
        <f>Parameters!$C$57*(1+Parameters!$C$12)^19</f>
        <v>101500</v>
      </c>
      <c r="X32" s="25">
        <f>Parameters!$C$57*(1+Parameters!$C$12)^20</f>
        <v>101500</v>
      </c>
      <c r="Y32" s="25">
        <f>Parameters!$C$57*(1+Parameters!$C$12)^21</f>
        <v>101500</v>
      </c>
      <c r="Z32" s="25">
        <f>Parameters!$C$57*(1+Parameters!$C$12)^22</f>
        <v>101500</v>
      </c>
      <c r="AA32" s="25">
        <f>Parameters!$C$57*(1+Parameters!$C$12)^23</f>
        <v>101500</v>
      </c>
      <c r="AB32" s="25">
        <f>Parameters!$C$57*(1+Parameters!$C$12)^24</f>
        <v>101500</v>
      </c>
      <c r="AC32" s="25">
        <f>Parameters!$C$57*(1+Parameters!$C$12)^25</f>
        <v>101500</v>
      </c>
      <c r="AD32" s="25">
        <f>Parameters!$C$57*(1+Parameters!$C$12)^26</f>
        <v>101500</v>
      </c>
      <c r="AE32" s="25">
        <f>Parameters!$C$57*(1+Parameters!$C$12)^27</f>
        <v>101500</v>
      </c>
      <c r="AF32" s="25">
        <f>Parameters!$C$57*(1+Parameters!$C$12)^28</f>
        <v>101500</v>
      </c>
      <c r="AG32" s="25">
        <f>Parameters!$C$57*(1+Parameters!$C$12)^29</f>
        <v>101500</v>
      </c>
    </row>
    <row r="33" spans="2:33" ht="15" customHeight="1" x14ac:dyDescent="0.2">
      <c r="B33" t="s">
        <v>722</v>
      </c>
      <c r="D33" s="25">
        <f>IF(1&gt;Parameters!$C$153, Parameters!$C$123*Parameters!$C$156*(1+Parameters!$C$12)^0, 0)</f>
        <v>0</v>
      </c>
      <c r="E33" s="25">
        <f>IF(2&gt;Parameters!$C$153, Parameters!$C$123*Parameters!$C$156*(1+Parameters!$C$12)^1, 0)</f>
        <v>225000</v>
      </c>
      <c r="F33" s="25">
        <f>IF(3&gt;Parameters!$C$153, Parameters!$C$123*Parameters!$C$156*(1+Parameters!$C$12)^2, 0)</f>
        <v>225000</v>
      </c>
      <c r="G33" s="25">
        <f>IF(4&gt;Parameters!$C$153, Parameters!$C$123*Parameters!$C$156*(1+Parameters!$C$12)^3, 0)</f>
        <v>225000</v>
      </c>
      <c r="H33" s="25">
        <f>IF(5&gt;Parameters!$C$153, Parameters!$C$123*Parameters!$C$156*(1+Parameters!$C$12)^4, 0)</f>
        <v>225000</v>
      </c>
      <c r="I33" s="25">
        <f>IF(6&gt;Parameters!$C$153, Parameters!$C$123*Parameters!$C$156*(1+Parameters!$C$12)^5, 0)</f>
        <v>225000</v>
      </c>
      <c r="J33" s="25">
        <f>IF(7&gt;Parameters!$C$153, Parameters!$C$123*Parameters!$C$156*(1+Parameters!$C$12)^6, 0)</f>
        <v>225000</v>
      </c>
      <c r="K33" s="25">
        <f>IF(8&gt;Parameters!$C$153, Parameters!$C$123*Parameters!$C$156*(1+Parameters!$C$12)^7, 0)</f>
        <v>225000</v>
      </c>
      <c r="L33" s="25">
        <f>IF(9&gt;Parameters!$C$153, Parameters!$C$123*Parameters!$C$156*(1+Parameters!$C$12)^8, 0)</f>
        <v>225000</v>
      </c>
      <c r="M33" s="25">
        <f>IF(10&gt;Parameters!$C$153, Parameters!$C$123*Parameters!$C$156*(1+Parameters!$C$12)^9, 0)</f>
        <v>225000</v>
      </c>
      <c r="N33" s="25">
        <f>IF(11&gt;Parameters!$C$153, Parameters!$C$123*Parameters!$C$156*(1+Parameters!$C$12)^10, 0)</f>
        <v>225000</v>
      </c>
      <c r="O33" s="25">
        <f>IF(12&gt;Parameters!$C$153, Parameters!$C$123*Parameters!$C$156*(1+Parameters!$C$12)^11, 0)</f>
        <v>225000</v>
      </c>
      <c r="P33" s="25">
        <f>IF(13&gt;Parameters!$C$153, Parameters!$C$123*Parameters!$C$156*(1+Parameters!$C$12)^12, 0)</f>
        <v>225000</v>
      </c>
      <c r="Q33" s="25">
        <f>IF(14&gt;Parameters!$C$153, Parameters!$C$123*Parameters!$C$156*(1+Parameters!$C$12)^13, 0)</f>
        <v>225000</v>
      </c>
      <c r="R33" s="25">
        <f>IF(15&gt;Parameters!$C$153, Parameters!$C$123*Parameters!$C$156*(1+Parameters!$C$12)^14, 0)</f>
        <v>225000</v>
      </c>
      <c r="S33" s="25">
        <f>IF(16&gt;Parameters!$C$153, Parameters!$C$123*Parameters!$C$156*(1+Parameters!$C$12)^15, 0)</f>
        <v>225000</v>
      </c>
      <c r="T33" s="25">
        <f>IF(17&gt;Parameters!$C$153, Parameters!$C$123*Parameters!$C$156*(1+Parameters!$C$12)^16, 0)</f>
        <v>225000</v>
      </c>
      <c r="U33" s="25">
        <f>IF(18&gt;Parameters!$C$153, Parameters!$C$123*Parameters!$C$156*(1+Parameters!$C$12)^17, 0)</f>
        <v>225000</v>
      </c>
      <c r="V33" s="25">
        <f>IF(19&gt;Parameters!$C$153, Parameters!$C$123*Parameters!$C$156*(1+Parameters!$C$12)^18, 0)</f>
        <v>225000</v>
      </c>
      <c r="W33" s="25">
        <f>IF(20&gt;Parameters!$C$153, Parameters!$C$123*Parameters!$C$156*(1+Parameters!$C$12)^19, 0)</f>
        <v>225000</v>
      </c>
      <c r="X33" s="25">
        <f>IF(21&gt;Parameters!$C$153, Parameters!$C$123*Parameters!$C$156*(1+Parameters!$C$12)^20, 0)</f>
        <v>225000</v>
      </c>
      <c r="Y33" s="25">
        <f>IF(22&gt;Parameters!$C$153, Parameters!$C$123*Parameters!$C$156*(1+Parameters!$C$12)^21, 0)</f>
        <v>225000</v>
      </c>
      <c r="Z33" s="25">
        <f>IF(23&gt;Parameters!$C$153, Parameters!$C$123*Parameters!$C$156*(1+Parameters!$C$12)^22, 0)</f>
        <v>225000</v>
      </c>
      <c r="AA33" s="25">
        <f>IF(24&gt;Parameters!$C$153, Parameters!$C$123*Parameters!$C$156*(1+Parameters!$C$12)^23, 0)</f>
        <v>225000</v>
      </c>
      <c r="AB33" s="25">
        <f>IF(25&gt;Parameters!$C$153, Parameters!$C$123*Parameters!$C$156*(1+Parameters!$C$12)^24, 0)</f>
        <v>225000</v>
      </c>
      <c r="AC33" s="25">
        <f>IF(26&gt;Parameters!$C$153, Parameters!$C$123*Parameters!$C$156*(1+Parameters!$C$12)^25, 0)</f>
        <v>225000</v>
      </c>
      <c r="AD33" s="25">
        <f>IF(27&gt;Parameters!$C$153, Parameters!$C$123*Parameters!$C$156*(1+Parameters!$C$12)^26, 0)</f>
        <v>225000</v>
      </c>
      <c r="AE33" s="25">
        <f>IF(28&gt;Parameters!$C$153, Parameters!$C$123*Parameters!$C$156*(1+Parameters!$C$12)^27, 0)</f>
        <v>225000</v>
      </c>
      <c r="AF33" s="25">
        <f>IF(29&gt;Parameters!$C$153, Parameters!$C$123*Parameters!$C$156*(1+Parameters!$C$12)^28, 0)</f>
        <v>225000</v>
      </c>
      <c r="AG33" s="25">
        <f>IF(30&gt;Parameters!$C$153, Parameters!$C$123*Parameters!$C$156*(1+Parameters!$C$12)^29, 0)</f>
        <v>225000</v>
      </c>
    </row>
    <row r="34" spans="2:33" ht="15" customHeight="1" x14ac:dyDescent="0.2">
      <c r="B34" t="s">
        <v>723</v>
      </c>
      <c r="D34" s="25">
        <f>IF(1&gt;Parameters!$C$153, Parameters!$C$147*(1+Parameters!$C$12)^0, 0)</f>
        <v>0</v>
      </c>
      <c r="E34" s="25">
        <f>IF(2&gt;Parameters!$C$153, Parameters!$C$147*(1+Parameters!$C$12)^1, 0)</f>
        <v>35000</v>
      </c>
      <c r="F34" s="25">
        <f>IF(3&gt;Parameters!$C$153, Parameters!$C$147*(1+Parameters!$C$12)^2, 0)</f>
        <v>35000</v>
      </c>
      <c r="G34" s="25">
        <f>IF(4&gt;Parameters!$C$153, Parameters!$C$147*(1+Parameters!$C$12)^3, 0)</f>
        <v>35000</v>
      </c>
      <c r="H34" s="25">
        <f>IF(5&gt;Parameters!$C$153, Parameters!$C$147*(1+Parameters!$C$12)^4, 0)</f>
        <v>35000</v>
      </c>
      <c r="I34" s="25">
        <f>IF(6&gt;Parameters!$C$153, Parameters!$C$147*(1+Parameters!$C$12)^5, 0)</f>
        <v>35000</v>
      </c>
      <c r="J34" s="25">
        <f>IF(7&gt;Parameters!$C$153, Parameters!$C$147*(1+Parameters!$C$12)^6, 0)</f>
        <v>35000</v>
      </c>
      <c r="K34" s="25">
        <f>IF(8&gt;Parameters!$C$153, Parameters!$C$147*(1+Parameters!$C$12)^7, 0)</f>
        <v>35000</v>
      </c>
      <c r="L34" s="25">
        <f>IF(9&gt;Parameters!$C$153, Parameters!$C$147*(1+Parameters!$C$12)^8, 0)</f>
        <v>35000</v>
      </c>
      <c r="M34" s="25">
        <f>IF(10&gt;Parameters!$C$153, Parameters!$C$147*(1+Parameters!$C$12)^9, 0)</f>
        <v>35000</v>
      </c>
      <c r="N34" s="25">
        <f>IF(11&gt;Parameters!$C$153, Parameters!$C$147*(1+Parameters!$C$12)^10, 0)</f>
        <v>35000</v>
      </c>
      <c r="O34" s="25">
        <f>IF(12&gt;Parameters!$C$153, Parameters!$C$147*(1+Parameters!$C$12)^11, 0)</f>
        <v>35000</v>
      </c>
      <c r="P34" s="25">
        <f>IF(13&gt;Parameters!$C$153, Parameters!$C$147*(1+Parameters!$C$12)^12, 0)</f>
        <v>35000</v>
      </c>
      <c r="Q34" s="25">
        <f>IF(14&gt;Parameters!$C$153, Parameters!$C$147*(1+Parameters!$C$12)^13, 0)</f>
        <v>35000</v>
      </c>
      <c r="R34" s="25">
        <f>IF(15&gt;Parameters!$C$153, Parameters!$C$147*(1+Parameters!$C$12)^14, 0)</f>
        <v>35000</v>
      </c>
      <c r="S34" s="25">
        <f>IF(16&gt;Parameters!$C$153, Parameters!$C$147*(1+Parameters!$C$12)^15, 0)</f>
        <v>35000</v>
      </c>
      <c r="T34" s="25">
        <f>IF(17&gt;Parameters!$C$153, Parameters!$C$147*(1+Parameters!$C$12)^16, 0)</f>
        <v>35000</v>
      </c>
      <c r="U34" s="25">
        <f>IF(18&gt;Parameters!$C$153, Parameters!$C$147*(1+Parameters!$C$12)^17, 0)</f>
        <v>35000</v>
      </c>
      <c r="V34" s="25">
        <f>IF(19&gt;Parameters!$C$153, Parameters!$C$147*(1+Parameters!$C$12)^18, 0)</f>
        <v>35000</v>
      </c>
      <c r="W34" s="25">
        <f>IF(20&gt;Parameters!$C$153, Parameters!$C$147*(1+Parameters!$C$12)^19, 0)</f>
        <v>35000</v>
      </c>
      <c r="X34" s="25">
        <f>IF(21&gt;Parameters!$C$153, Parameters!$C$147*(1+Parameters!$C$12)^20, 0)</f>
        <v>35000</v>
      </c>
      <c r="Y34" s="25">
        <f>IF(22&gt;Parameters!$C$153, Parameters!$C$147*(1+Parameters!$C$12)^21, 0)</f>
        <v>35000</v>
      </c>
      <c r="Z34" s="25">
        <f>IF(23&gt;Parameters!$C$153, Parameters!$C$147*(1+Parameters!$C$12)^22, 0)</f>
        <v>35000</v>
      </c>
      <c r="AA34" s="25">
        <f>IF(24&gt;Parameters!$C$153, Parameters!$C$147*(1+Parameters!$C$12)^23, 0)</f>
        <v>35000</v>
      </c>
      <c r="AB34" s="25">
        <f>IF(25&gt;Parameters!$C$153, Parameters!$C$147*(1+Parameters!$C$12)^24, 0)</f>
        <v>35000</v>
      </c>
      <c r="AC34" s="25">
        <f>IF(26&gt;Parameters!$C$153, Parameters!$C$147*(1+Parameters!$C$12)^25, 0)</f>
        <v>35000</v>
      </c>
      <c r="AD34" s="25">
        <f>IF(27&gt;Parameters!$C$153, Parameters!$C$147*(1+Parameters!$C$12)^26, 0)</f>
        <v>35000</v>
      </c>
      <c r="AE34" s="25">
        <f>IF(28&gt;Parameters!$C$153, Parameters!$C$147*(1+Parameters!$C$12)^27, 0)</f>
        <v>35000</v>
      </c>
      <c r="AF34" s="25">
        <f>IF(29&gt;Parameters!$C$153, Parameters!$C$147*(1+Parameters!$C$12)^28, 0)</f>
        <v>35000</v>
      </c>
      <c r="AG34" s="25">
        <f>IF(30&gt;Parameters!$C$153, Parameters!$C$147*(1+Parameters!$C$12)^29, 0)</f>
        <v>35000</v>
      </c>
    </row>
    <row r="35" spans="2:33" ht="15" customHeight="1" x14ac:dyDescent="0.2">
      <c r="B35" t="s">
        <v>730</v>
      </c>
      <c r="D35" s="25">
        <f>IF(1&lt;=Parameters!$C$153, Parameters!$C$64*(1+Parameters!$C$12)^0, 0)</f>
        <v>131239</v>
      </c>
      <c r="E35" s="25">
        <f>IF(2&lt;=Parameters!$C$153, Parameters!$C$64*(1+Parameters!$C$12)^1, 0)</f>
        <v>0</v>
      </c>
      <c r="F35" s="25">
        <f>IF(3&lt;=Parameters!$C$153, Parameters!$C$64*(1+Parameters!$C$12)^2, 0)</f>
        <v>0</v>
      </c>
      <c r="G35" s="25">
        <f>IF(4&lt;=Parameters!$C$153, Parameters!$C$64*(1+Parameters!$C$12)^3, 0)</f>
        <v>0</v>
      </c>
      <c r="H35" s="25">
        <f>IF(5&lt;=Parameters!$C$153, Parameters!$C$64*(1+Parameters!$C$12)^4, 0)</f>
        <v>0</v>
      </c>
      <c r="I35" s="25">
        <f>IF(6&lt;=Parameters!$C$153, Parameters!$C$64*(1+Parameters!$C$12)^5, 0)</f>
        <v>0</v>
      </c>
      <c r="J35" s="25">
        <f>IF(7&lt;=Parameters!$C$153, Parameters!$C$64*(1+Parameters!$C$12)^6, 0)</f>
        <v>0</v>
      </c>
      <c r="K35" s="25">
        <f>IF(8&lt;=Parameters!$C$153, Parameters!$C$64*(1+Parameters!$C$12)^7, 0)</f>
        <v>0</v>
      </c>
      <c r="L35" s="25">
        <f>IF(9&lt;=Parameters!$C$153, Parameters!$C$64*(1+Parameters!$C$12)^8, 0)</f>
        <v>0</v>
      </c>
      <c r="M35" s="25">
        <f>IF(10&lt;=Parameters!$C$153, Parameters!$C$64*(1+Parameters!$C$12)^9, 0)</f>
        <v>0</v>
      </c>
      <c r="N35" s="25">
        <f>IF(11&lt;=Parameters!$C$153, Parameters!$C$64*(1+Parameters!$C$12)^10, 0)</f>
        <v>0</v>
      </c>
      <c r="O35" s="25">
        <f>IF(12&lt;=Parameters!$C$153, Parameters!$C$64*(1+Parameters!$C$12)^11, 0)</f>
        <v>0</v>
      </c>
      <c r="P35" s="25">
        <f>IF(13&lt;=Parameters!$C$153, Parameters!$C$64*(1+Parameters!$C$12)^12, 0)</f>
        <v>0</v>
      </c>
      <c r="Q35" s="25">
        <f>IF(14&lt;=Parameters!$C$153, Parameters!$C$64*(1+Parameters!$C$12)^13, 0)</f>
        <v>0</v>
      </c>
      <c r="R35" s="25">
        <f>IF(15&lt;=Parameters!$C$153, Parameters!$C$64*(1+Parameters!$C$12)^14, 0)</f>
        <v>0</v>
      </c>
      <c r="S35" s="25">
        <f>IF(16&lt;=Parameters!$C$153, Parameters!$C$64*(1+Parameters!$C$12)^15, 0)</f>
        <v>0</v>
      </c>
      <c r="T35" s="25">
        <f>IF(17&lt;=Parameters!$C$153, Parameters!$C$64*(1+Parameters!$C$12)^16, 0)</f>
        <v>0</v>
      </c>
      <c r="U35" s="25">
        <f>IF(18&lt;=Parameters!$C$153, Parameters!$C$64*(1+Parameters!$C$12)^17, 0)</f>
        <v>0</v>
      </c>
      <c r="V35" s="25">
        <f>IF(19&lt;=Parameters!$C$153, Parameters!$C$64*(1+Parameters!$C$12)^18, 0)</f>
        <v>0</v>
      </c>
      <c r="W35" s="25">
        <f>IF(20&lt;=Parameters!$C$153, Parameters!$C$64*(1+Parameters!$C$12)^19, 0)</f>
        <v>0</v>
      </c>
      <c r="X35" s="25">
        <f>IF(21&lt;=Parameters!$C$153, Parameters!$C$64*(1+Parameters!$C$12)^20, 0)</f>
        <v>0</v>
      </c>
      <c r="Y35" s="25">
        <f>IF(22&lt;=Parameters!$C$153, Parameters!$C$64*(1+Parameters!$C$12)^21, 0)</f>
        <v>0</v>
      </c>
      <c r="Z35" s="25">
        <f>IF(23&lt;=Parameters!$C$153, Parameters!$C$64*(1+Parameters!$C$12)^22, 0)</f>
        <v>0</v>
      </c>
      <c r="AA35" s="25">
        <f>IF(24&lt;=Parameters!$C$153, Parameters!$C$64*(1+Parameters!$C$12)^23, 0)</f>
        <v>0</v>
      </c>
      <c r="AB35" s="25">
        <f>IF(25&lt;=Parameters!$C$153, Parameters!$C$64*(1+Parameters!$C$12)^24, 0)</f>
        <v>0</v>
      </c>
      <c r="AC35" s="25">
        <f>IF(26&lt;=Parameters!$C$153, Parameters!$C$64*(1+Parameters!$C$12)^25, 0)</f>
        <v>0</v>
      </c>
      <c r="AD35" s="25">
        <f>IF(27&lt;=Parameters!$C$153, Parameters!$C$64*(1+Parameters!$C$12)^26, 0)</f>
        <v>0</v>
      </c>
      <c r="AE35" s="25">
        <f>IF(28&lt;=Parameters!$C$153, Parameters!$C$64*(1+Parameters!$C$12)^27, 0)</f>
        <v>0</v>
      </c>
      <c r="AF35" s="25">
        <f>IF(29&lt;=Parameters!$C$153, Parameters!$C$64*(1+Parameters!$C$12)^28, 0)</f>
        <v>0</v>
      </c>
      <c r="AG35" s="25">
        <f>IF(30&lt;=Parameters!$C$153, Parameters!$C$64*(1+Parameters!$C$12)^29, 0)</f>
        <v>0</v>
      </c>
    </row>
    <row r="36" spans="2:33" ht="15" customHeight="1" x14ac:dyDescent="0.2">
      <c r="B36" t="s">
        <v>731</v>
      </c>
      <c r="D36" s="25">
        <f>IF(1=1, $C$21, 0)</f>
        <v>804000</v>
      </c>
      <c r="E36" s="25">
        <f>IF(2=1, $C$21, 0)</f>
        <v>0</v>
      </c>
      <c r="F36" s="25">
        <f>IF(3=1, $C$21, 0)</f>
        <v>0</v>
      </c>
      <c r="G36" s="25">
        <f>IF(4=1, $C$21, 0)</f>
        <v>0</v>
      </c>
      <c r="H36" s="25">
        <f>IF(5=1, $C$21, 0)</f>
        <v>0</v>
      </c>
      <c r="I36" s="25">
        <f>IF(6=1, $C$21, 0)</f>
        <v>0</v>
      </c>
      <c r="J36" s="25">
        <f>IF(7=1, $C$21, 0)</f>
        <v>0</v>
      </c>
      <c r="K36" s="25">
        <f>IF(8=1, $C$21, 0)</f>
        <v>0</v>
      </c>
      <c r="L36" s="25">
        <f>IF(9=1, $C$21, 0)</f>
        <v>0</v>
      </c>
      <c r="M36" s="25">
        <f>IF(10=1, $C$21, 0)</f>
        <v>0</v>
      </c>
      <c r="N36" s="25">
        <f>IF(11=1, $C$21, 0)</f>
        <v>0</v>
      </c>
      <c r="O36" s="25">
        <f>IF(12=1, $C$21, 0)</f>
        <v>0</v>
      </c>
      <c r="P36" s="25">
        <f>IF(13=1, $C$21, 0)</f>
        <v>0</v>
      </c>
      <c r="Q36" s="25">
        <f>IF(14=1, $C$21, 0)</f>
        <v>0</v>
      </c>
      <c r="R36" s="25">
        <f>IF(15=1, $C$21, 0)</f>
        <v>0</v>
      </c>
      <c r="S36" s="25">
        <f>IF(16=1, $C$21, 0)</f>
        <v>0</v>
      </c>
      <c r="T36" s="25">
        <f>IF(17=1, $C$21, 0)</f>
        <v>0</v>
      </c>
      <c r="U36" s="25">
        <f>IF(18=1, $C$21, 0)</f>
        <v>0</v>
      </c>
      <c r="V36" s="25">
        <f>IF(19=1, $C$21, 0)</f>
        <v>0</v>
      </c>
      <c r="W36" s="25">
        <f>IF(20=1, $C$21, 0)</f>
        <v>0</v>
      </c>
      <c r="X36" s="25">
        <f>IF(21=1, $C$21, 0)</f>
        <v>0</v>
      </c>
      <c r="Y36" s="25">
        <f>IF(22=1, $C$21, 0)</f>
        <v>0</v>
      </c>
      <c r="Z36" s="25">
        <f>IF(23=1, $C$21, 0)</f>
        <v>0</v>
      </c>
      <c r="AA36" s="25">
        <f>IF(24=1, $C$21, 0)</f>
        <v>0</v>
      </c>
      <c r="AB36" s="25">
        <f>IF(25=1, $C$21, 0)</f>
        <v>0</v>
      </c>
      <c r="AC36" s="25">
        <f>IF(26=1, $C$21, 0)</f>
        <v>0</v>
      </c>
      <c r="AD36" s="25">
        <f>IF(27=1, $C$21, 0)</f>
        <v>0</v>
      </c>
      <c r="AE36" s="25">
        <f>IF(28=1, $C$21, 0)</f>
        <v>0</v>
      </c>
      <c r="AF36" s="25">
        <f>IF(29=1, $C$21, 0)</f>
        <v>0</v>
      </c>
      <c r="AG36" s="25">
        <f>IF(30=1, $C$21, 0)</f>
        <v>0</v>
      </c>
    </row>
    <row r="37" spans="2:33" ht="15" customHeight="1" x14ac:dyDescent="0.2">
      <c r="B37" t="s">
        <v>732</v>
      </c>
      <c r="D37" s="25">
        <f>IF(1=5,Parameters!$C$67*(1+Parameters!$C$11)^0,0)+IF(1=8,Parameters!$C$68*(1+Parameters!$C$11)^0,0)+IF(1=10,Parameters!$C$69*(1+Parameters!$C$11)^0,0)+IF(1=12,Parameters!$C$70*(1+Parameters!$C$11)^0,0)+IF(1=15,Parameters!$C$71*(1+Parameters!$C$11)^0,0)+IF(1=18,Parameters!$C$72*(1+Parameters!$C$11)^0,0)+IF(1=22,Parameters!$C$73*(1+Parameters!$C$11)^0,0)+IF(1=28,Parameters!$C$74*(1+Parameters!$C$11)^0,0)</f>
        <v>0</v>
      </c>
      <c r="E37" s="25">
        <f>IF(2=5,Parameters!$C$67*(1+Parameters!$C$11)^1,0)+IF(2=8,Parameters!$C$68*(1+Parameters!$C$11)^1,0)+IF(2=10,Parameters!$C$69*(1+Parameters!$C$11)^1,0)+IF(2=12,Parameters!$C$70*(1+Parameters!$C$11)^1,0)+IF(2=15,Parameters!$C$71*(1+Parameters!$C$11)^1,0)+IF(2=18,Parameters!$C$72*(1+Parameters!$C$11)^1,0)+IF(2=22,Parameters!$C$73*(1+Parameters!$C$11)^1,0)+IF(2=28,Parameters!$C$74*(1+Parameters!$C$11)^1,0)</f>
        <v>0</v>
      </c>
      <c r="F37" s="25">
        <f>IF(3=5,Parameters!$C$67*(1+Parameters!$C$11)^2,0)+IF(3=8,Parameters!$C$68*(1+Parameters!$C$11)^2,0)+IF(3=10,Parameters!$C$69*(1+Parameters!$C$11)^2,0)+IF(3=12,Parameters!$C$70*(1+Parameters!$C$11)^2,0)+IF(3=15,Parameters!$C$71*(1+Parameters!$C$11)^2,0)+IF(3=18,Parameters!$C$72*(1+Parameters!$C$11)^2,0)+IF(3=22,Parameters!$C$73*(1+Parameters!$C$11)^2,0)+IF(3=28,Parameters!$C$74*(1+Parameters!$C$11)^2,0)</f>
        <v>0</v>
      </c>
      <c r="G37" s="25">
        <f>IF(4=5,Parameters!$C$67*(1+Parameters!$C$11)^3,0)+IF(4=8,Parameters!$C$68*(1+Parameters!$C$11)^3,0)+IF(4=10,Parameters!$C$69*(1+Parameters!$C$11)^3,0)+IF(4=12,Parameters!$C$70*(1+Parameters!$C$11)^3,0)+IF(4=15,Parameters!$C$71*(1+Parameters!$C$11)^3,0)+IF(4=18,Parameters!$C$72*(1+Parameters!$C$11)^3,0)+IF(4=22,Parameters!$C$73*(1+Parameters!$C$11)^3,0)+IF(4=28,Parameters!$C$74*(1+Parameters!$C$11)^3,0)</f>
        <v>0</v>
      </c>
      <c r="H37" s="25">
        <f>IF(5=5,Parameters!$C$67*(1+Parameters!$C$11)^4,0)+IF(5=8,Parameters!$C$68*(1+Parameters!$C$11)^4,0)+IF(5=10,Parameters!$C$69*(1+Parameters!$C$11)^4,0)+IF(5=12,Parameters!$C$70*(1+Parameters!$C$11)^4,0)+IF(5=15,Parameters!$C$71*(1+Parameters!$C$11)^4,0)+IF(5=18,Parameters!$C$72*(1+Parameters!$C$11)^4,0)+IF(5=22,Parameters!$C$73*(1+Parameters!$C$11)^4,0)+IF(5=28,Parameters!$C$74*(1+Parameters!$C$11)^4,0)</f>
        <v>300000</v>
      </c>
      <c r="I37" s="25">
        <f>IF(6=5,Parameters!$C$67*(1+Parameters!$C$11)^5,0)+IF(6=8,Parameters!$C$68*(1+Parameters!$C$11)^5,0)+IF(6=10,Parameters!$C$69*(1+Parameters!$C$11)^5,0)+IF(6=12,Parameters!$C$70*(1+Parameters!$C$11)^5,0)+IF(6=15,Parameters!$C$71*(1+Parameters!$C$11)^5,0)+IF(6=18,Parameters!$C$72*(1+Parameters!$C$11)^5,0)+IF(6=22,Parameters!$C$73*(1+Parameters!$C$11)^5,0)+IF(6=28,Parameters!$C$74*(1+Parameters!$C$11)^5,0)</f>
        <v>0</v>
      </c>
      <c r="J37" s="25">
        <f>IF(7=5,Parameters!$C$67*(1+Parameters!$C$11)^6,0)+IF(7=8,Parameters!$C$68*(1+Parameters!$C$11)^6,0)+IF(7=10,Parameters!$C$69*(1+Parameters!$C$11)^6,0)+IF(7=12,Parameters!$C$70*(1+Parameters!$C$11)^6,0)+IF(7=15,Parameters!$C$71*(1+Parameters!$C$11)^6,0)+IF(7=18,Parameters!$C$72*(1+Parameters!$C$11)^6,0)+IF(7=22,Parameters!$C$73*(1+Parameters!$C$11)^6,0)+IF(7=28,Parameters!$C$74*(1+Parameters!$C$11)^6,0)</f>
        <v>0</v>
      </c>
      <c r="K37" s="25">
        <f>IF(8=5,Parameters!$C$67*(1+Parameters!$C$11)^7,0)+IF(8=8,Parameters!$C$68*(1+Parameters!$C$11)^7,0)+IF(8=10,Parameters!$C$69*(1+Parameters!$C$11)^7,0)+IF(8=12,Parameters!$C$70*(1+Parameters!$C$11)^7,0)+IF(8=15,Parameters!$C$71*(1+Parameters!$C$11)^7,0)+IF(8=18,Parameters!$C$72*(1+Parameters!$C$11)^7,0)+IF(8=22,Parameters!$C$73*(1+Parameters!$C$11)^7,0)+IF(8=28,Parameters!$C$74*(1+Parameters!$C$11)^7,0)</f>
        <v>400000</v>
      </c>
      <c r="L37" s="25">
        <f>IF(9=5,Parameters!$C$67*(1+Parameters!$C$11)^8,0)+IF(9=8,Parameters!$C$68*(1+Parameters!$C$11)^8,0)+IF(9=10,Parameters!$C$69*(1+Parameters!$C$11)^8,0)+IF(9=12,Parameters!$C$70*(1+Parameters!$C$11)^8,0)+IF(9=15,Parameters!$C$71*(1+Parameters!$C$11)^8,0)+IF(9=18,Parameters!$C$72*(1+Parameters!$C$11)^8,0)+IF(9=22,Parameters!$C$73*(1+Parameters!$C$11)^8,0)+IF(9=28,Parameters!$C$74*(1+Parameters!$C$11)^8,0)</f>
        <v>0</v>
      </c>
      <c r="M37" s="25">
        <f>IF(10=5,Parameters!$C$67*(1+Parameters!$C$11)^9,0)+IF(10=8,Parameters!$C$68*(1+Parameters!$C$11)^9,0)+IF(10=10,Parameters!$C$69*(1+Parameters!$C$11)^9,0)+IF(10=12,Parameters!$C$70*(1+Parameters!$C$11)^9,0)+IF(10=15,Parameters!$C$71*(1+Parameters!$C$11)^9,0)+IF(10=18,Parameters!$C$72*(1+Parameters!$C$11)^9,0)+IF(10=22,Parameters!$C$73*(1+Parameters!$C$11)^9,0)+IF(10=28,Parameters!$C$74*(1+Parameters!$C$11)^9,0)</f>
        <v>200000</v>
      </c>
      <c r="N37" s="25">
        <f>IF(11=5,Parameters!$C$67*(1+Parameters!$C$11)^10,0)+IF(11=8,Parameters!$C$68*(1+Parameters!$C$11)^10,0)+IF(11=10,Parameters!$C$69*(1+Parameters!$C$11)^10,0)+IF(11=12,Parameters!$C$70*(1+Parameters!$C$11)^10,0)+IF(11=15,Parameters!$C$71*(1+Parameters!$C$11)^10,0)+IF(11=18,Parameters!$C$72*(1+Parameters!$C$11)^10,0)+IF(11=22,Parameters!$C$73*(1+Parameters!$C$11)^10,0)+IF(11=28,Parameters!$C$74*(1+Parameters!$C$11)^10,0)</f>
        <v>0</v>
      </c>
      <c r="O37" s="25">
        <f>IF(12=5,Parameters!$C$67*(1+Parameters!$C$11)^11,0)+IF(12=8,Parameters!$C$68*(1+Parameters!$C$11)^11,0)+IF(12=10,Parameters!$C$69*(1+Parameters!$C$11)^11,0)+IF(12=12,Parameters!$C$70*(1+Parameters!$C$11)^11,0)+IF(12=15,Parameters!$C$71*(1+Parameters!$C$11)^11,0)+IF(12=18,Parameters!$C$72*(1+Parameters!$C$11)^11,0)+IF(12=22,Parameters!$C$73*(1+Parameters!$C$11)^11,0)+IF(12=28,Parameters!$C$74*(1+Parameters!$C$11)^11,0)</f>
        <v>350000</v>
      </c>
      <c r="P37" s="25">
        <f>IF(13=5,Parameters!$C$67*(1+Parameters!$C$11)^12,0)+IF(13=8,Parameters!$C$68*(1+Parameters!$C$11)^12,0)+IF(13=10,Parameters!$C$69*(1+Parameters!$C$11)^12,0)+IF(13=12,Parameters!$C$70*(1+Parameters!$C$11)^12,0)+IF(13=15,Parameters!$C$71*(1+Parameters!$C$11)^12,0)+IF(13=18,Parameters!$C$72*(1+Parameters!$C$11)^12,0)+IF(13=22,Parameters!$C$73*(1+Parameters!$C$11)^12,0)+IF(13=28,Parameters!$C$74*(1+Parameters!$C$11)^12,0)</f>
        <v>0</v>
      </c>
      <c r="Q37" s="25">
        <f>IF(14=5,Parameters!$C$67*(1+Parameters!$C$11)^13,0)+IF(14=8,Parameters!$C$68*(1+Parameters!$C$11)^13,0)+IF(14=10,Parameters!$C$69*(1+Parameters!$C$11)^13,0)+IF(14=12,Parameters!$C$70*(1+Parameters!$C$11)^13,0)+IF(14=15,Parameters!$C$71*(1+Parameters!$C$11)^13,0)+IF(14=18,Parameters!$C$72*(1+Parameters!$C$11)^13,0)+IF(14=22,Parameters!$C$73*(1+Parameters!$C$11)^13,0)+IF(14=28,Parameters!$C$74*(1+Parameters!$C$11)^13,0)</f>
        <v>0</v>
      </c>
      <c r="R37" s="25">
        <f>IF(15=5,Parameters!$C$67*(1+Parameters!$C$11)^14,0)+IF(15=8,Parameters!$C$68*(1+Parameters!$C$11)^14,0)+IF(15=10,Parameters!$C$69*(1+Parameters!$C$11)^14,0)+IF(15=12,Parameters!$C$70*(1+Parameters!$C$11)^14,0)+IF(15=15,Parameters!$C$71*(1+Parameters!$C$11)^14,0)+IF(15=18,Parameters!$C$72*(1+Parameters!$C$11)^14,0)+IF(15=22,Parameters!$C$73*(1+Parameters!$C$11)^14,0)+IF(15=28,Parameters!$C$74*(1+Parameters!$C$11)^14,0)</f>
        <v>250000</v>
      </c>
      <c r="S37" s="25">
        <f>IF(16=5,Parameters!$C$67*(1+Parameters!$C$11)^15,0)+IF(16=8,Parameters!$C$68*(1+Parameters!$C$11)^15,0)+IF(16=10,Parameters!$C$69*(1+Parameters!$C$11)^15,0)+IF(16=12,Parameters!$C$70*(1+Parameters!$C$11)^15,0)+IF(16=15,Parameters!$C$71*(1+Parameters!$C$11)^15,0)+IF(16=18,Parameters!$C$72*(1+Parameters!$C$11)^15,0)+IF(16=22,Parameters!$C$73*(1+Parameters!$C$11)^15,0)+IF(16=28,Parameters!$C$74*(1+Parameters!$C$11)^15,0)</f>
        <v>0</v>
      </c>
      <c r="T37" s="25">
        <f>IF(17=5,Parameters!$C$67*(1+Parameters!$C$11)^16,0)+IF(17=8,Parameters!$C$68*(1+Parameters!$C$11)^16,0)+IF(17=10,Parameters!$C$69*(1+Parameters!$C$11)^16,0)+IF(17=12,Parameters!$C$70*(1+Parameters!$C$11)^16,0)+IF(17=15,Parameters!$C$71*(1+Parameters!$C$11)^16,0)+IF(17=18,Parameters!$C$72*(1+Parameters!$C$11)^16,0)+IF(17=22,Parameters!$C$73*(1+Parameters!$C$11)^16,0)+IF(17=28,Parameters!$C$74*(1+Parameters!$C$11)^16,0)</f>
        <v>0</v>
      </c>
      <c r="U37" s="25">
        <f>IF(18=5,Parameters!$C$67*(1+Parameters!$C$11)^17,0)+IF(18=8,Parameters!$C$68*(1+Parameters!$C$11)^17,0)+IF(18=10,Parameters!$C$69*(1+Parameters!$C$11)^17,0)+IF(18=12,Parameters!$C$70*(1+Parameters!$C$11)^17,0)+IF(18=15,Parameters!$C$71*(1+Parameters!$C$11)^17,0)+IF(18=18,Parameters!$C$72*(1+Parameters!$C$11)^17,0)+IF(18=22,Parameters!$C$73*(1+Parameters!$C$11)^17,0)+IF(18=28,Parameters!$C$74*(1+Parameters!$C$11)^17,0)</f>
        <v>150000</v>
      </c>
      <c r="V37" s="25">
        <f>IF(19=5,Parameters!$C$67*(1+Parameters!$C$11)^18,0)+IF(19=8,Parameters!$C$68*(1+Parameters!$C$11)^18,0)+IF(19=10,Parameters!$C$69*(1+Parameters!$C$11)^18,0)+IF(19=12,Parameters!$C$70*(1+Parameters!$C$11)^18,0)+IF(19=15,Parameters!$C$71*(1+Parameters!$C$11)^18,0)+IF(19=18,Parameters!$C$72*(1+Parameters!$C$11)^18,0)+IF(19=22,Parameters!$C$73*(1+Parameters!$C$11)^18,0)+IF(19=28,Parameters!$C$74*(1+Parameters!$C$11)^18,0)</f>
        <v>0</v>
      </c>
      <c r="W37" s="25">
        <f>IF(20=5,Parameters!$C$67*(1+Parameters!$C$11)^19,0)+IF(20=8,Parameters!$C$68*(1+Parameters!$C$11)^19,0)+IF(20=10,Parameters!$C$69*(1+Parameters!$C$11)^19,0)+IF(20=12,Parameters!$C$70*(1+Parameters!$C$11)^19,0)+IF(20=15,Parameters!$C$71*(1+Parameters!$C$11)^19,0)+IF(20=18,Parameters!$C$72*(1+Parameters!$C$11)^19,0)+IF(20=22,Parameters!$C$73*(1+Parameters!$C$11)^19,0)+IF(20=28,Parameters!$C$74*(1+Parameters!$C$11)^19,0)</f>
        <v>0</v>
      </c>
      <c r="X37" s="25">
        <f>IF(21=5,Parameters!$C$67*(1+Parameters!$C$11)^20,0)+IF(21=8,Parameters!$C$68*(1+Parameters!$C$11)^20,0)+IF(21=10,Parameters!$C$69*(1+Parameters!$C$11)^20,0)+IF(21=12,Parameters!$C$70*(1+Parameters!$C$11)^20,0)+IF(21=15,Parameters!$C$71*(1+Parameters!$C$11)^20,0)+IF(21=18,Parameters!$C$72*(1+Parameters!$C$11)^20,0)+IF(21=22,Parameters!$C$73*(1+Parameters!$C$11)^20,0)+IF(21=28,Parameters!$C$74*(1+Parameters!$C$11)^20,0)</f>
        <v>0</v>
      </c>
      <c r="Y37" s="25">
        <f>IF(22=5,Parameters!$C$67*(1+Parameters!$C$11)^21,0)+IF(22=8,Parameters!$C$68*(1+Parameters!$C$11)^21,0)+IF(22=10,Parameters!$C$69*(1+Parameters!$C$11)^21,0)+IF(22=12,Parameters!$C$70*(1+Parameters!$C$11)^21,0)+IF(22=15,Parameters!$C$71*(1+Parameters!$C$11)^21,0)+IF(22=18,Parameters!$C$72*(1+Parameters!$C$11)^21,0)+IF(22=22,Parameters!$C$73*(1+Parameters!$C$11)^21,0)+IF(22=28,Parameters!$C$74*(1+Parameters!$C$11)^21,0)</f>
        <v>350000</v>
      </c>
      <c r="Z37" s="25">
        <f>IF(23=5,Parameters!$C$67*(1+Parameters!$C$11)^22,0)+IF(23=8,Parameters!$C$68*(1+Parameters!$C$11)^22,0)+IF(23=10,Parameters!$C$69*(1+Parameters!$C$11)^22,0)+IF(23=12,Parameters!$C$70*(1+Parameters!$C$11)^22,0)+IF(23=15,Parameters!$C$71*(1+Parameters!$C$11)^22,0)+IF(23=18,Parameters!$C$72*(1+Parameters!$C$11)^22,0)+IF(23=22,Parameters!$C$73*(1+Parameters!$C$11)^22,0)+IF(23=28,Parameters!$C$74*(1+Parameters!$C$11)^22,0)</f>
        <v>0</v>
      </c>
      <c r="AA37" s="25">
        <f>IF(24=5,Parameters!$C$67*(1+Parameters!$C$11)^23,0)+IF(24=8,Parameters!$C$68*(1+Parameters!$C$11)^23,0)+IF(24=10,Parameters!$C$69*(1+Parameters!$C$11)^23,0)+IF(24=12,Parameters!$C$70*(1+Parameters!$C$11)^23,0)+IF(24=15,Parameters!$C$71*(1+Parameters!$C$11)^23,0)+IF(24=18,Parameters!$C$72*(1+Parameters!$C$11)^23,0)+IF(24=22,Parameters!$C$73*(1+Parameters!$C$11)^23,0)+IF(24=28,Parameters!$C$74*(1+Parameters!$C$11)^23,0)</f>
        <v>0</v>
      </c>
      <c r="AB37" s="25">
        <f>IF(25=5,Parameters!$C$67*(1+Parameters!$C$11)^24,0)+IF(25=8,Parameters!$C$68*(1+Parameters!$C$11)^24,0)+IF(25=10,Parameters!$C$69*(1+Parameters!$C$11)^24,0)+IF(25=12,Parameters!$C$70*(1+Parameters!$C$11)^24,0)+IF(25=15,Parameters!$C$71*(1+Parameters!$C$11)^24,0)+IF(25=18,Parameters!$C$72*(1+Parameters!$C$11)^24,0)+IF(25=22,Parameters!$C$73*(1+Parameters!$C$11)^24,0)+IF(25=28,Parameters!$C$74*(1+Parameters!$C$11)^24,0)</f>
        <v>0</v>
      </c>
      <c r="AC37" s="25">
        <f>IF(26=5,Parameters!$C$67*(1+Parameters!$C$11)^25,0)+IF(26=8,Parameters!$C$68*(1+Parameters!$C$11)^25,0)+IF(26=10,Parameters!$C$69*(1+Parameters!$C$11)^25,0)+IF(26=12,Parameters!$C$70*(1+Parameters!$C$11)^25,0)+IF(26=15,Parameters!$C$71*(1+Parameters!$C$11)^25,0)+IF(26=18,Parameters!$C$72*(1+Parameters!$C$11)^25,0)+IF(26=22,Parameters!$C$73*(1+Parameters!$C$11)^25,0)+IF(26=28,Parameters!$C$74*(1+Parameters!$C$11)^25,0)</f>
        <v>0</v>
      </c>
      <c r="AD37" s="25">
        <f>IF(27=5,Parameters!$C$67*(1+Parameters!$C$11)^26,0)+IF(27=8,Parameters!$C$68*(1+Parameters!$C$11)^26,0)+IF(27=10,Parameters!$C$69*(1+Parameters!$C$11)^26,0)+IF(27=12,Parameters!$C$70*(1+Parameters!$C$11)^26,0)+IF(27=15,Parameters!$C$71*(1+Parameters!$C$11)^26,0)+IF(27=18,Parameters!$C$72*(1+Parameters!$C$11)^26,0)+IF(27=22,Parameters!$C$73*(1+Parameters!$C$11)^26,0)+IF(27=28,Parameters!$C$74*(1+Parameters!$C$11)^26,0)</f>
        <v>0</v>
      </c>
      <c r="AE37" s="25">
        <f>IF(28=5,Parameters!$C$67*(1+Parameters!$C$11)^27,0)+IF(28=8,Parameters!$C$68*(1+Parameters!$C$11)^27,0)+IF(28=10,Parameters!$C$69*(1+Parameters!$C$11)^27,0)+IF(28=12,Parameters!$C$70*(1+Parameters!$C$11)^27,0)+IF(28=15,Parameters!$C$71*(1+Parameters!$C$11)^27,0)+IF(28=18,Parameters!$C$72*(1+Parameters!$C$11)^27,0)+IF(28=22,Parameters!$C$73*(1+Parameters!$C$11)^27,0)+IF(28=28,Parameters!$C$74*(1+Parameters!$C$11)^27,0)</f>
        <v>450000</v>
      </c>
      <c r="AF37" s="25">
        <f>IF(29=5,Parameters!$C$67*(1+Parameters!$C$11)^28,0)+IF(29=8,Parameters!$C$68*(1+Parameters!$C$11)^28,0)+IF(29=10,Parameters!$C$69*(1+Parameters!$C$11)^28,0)+IF(29=12,Parameters!$C$70*(1+Parameters!$C$11)^28,0)+IF(29=15,Parameters!$C$71*(1+Parameters!$C$11)^28,0)+IF(29=18,Parameters!$C$72*(1+Parameters!$C$11)^28,0)+IF(29=22,Parameters!$C$73*(1+Parameters!$C$11)^28,0)+IF(29=28,Parameters!$C$74*(1+Parameters!$C$11)^28,0)</f>
        <v>0</v>
      </c>
      <c r="AG37" s="25">
        <f>IF(30=5,Parameters!$C$67*(1+Parameters!$C$11)^29,0)+IF(30=8,Parameters!$C$68*(1+Parameters!$C$11)^29,0)+IF(30=10,Parameters!$C$69*(1+Parameters!$C$11)^29,0)+IF(30=12,Parameters!$C$70*(1+Parameters!$C$11)^29,0)+IF(30=15,Parameters!$C$71*(1+Parameters!$C$11)^29,0)+IF(30=18,Parameters!$C$72*(1+Parameters!$C$11)^29,0)+IF(30=22,Parameters!$C$73*(1+Parameters!$C$11)^29,0)+IF(30=28,Parameters!$C$74*(1+Parameters!$C$11)^29,0)</f>
        <v>0</v>
      </c>
    </row>
    <row r="38" spans="2:33" ht="15" customHeight="1" x14ac:dyDescent="0.2">
      <c r="B38" t="s">
        <v>733</v>
      </c>
      <c r="D38" s="25">
        <f>(Parameters!$C$140+Parameters!$C$141+Parameters!$C$142+Parameters!$C$143+Parameters!$C$144)*(1+Parameters!$C$12)^0</f>
        <v>170000</v>
      </c>
      <c r="E38" s="81">
        <f>(Parameters!$C$140+Parameters!$C$141+Parameters!$C$142+Parameters!$C$143+Parameters!$C$144)*(1+Parameters!$C$12)^1</f>
        <v>170000</v>
      </c>
      <c r="F38" s="81">
        <f>(Parameters!$C$140+Parameters!$C$141+Parameters!$C$142+Parameters!$C$143+Parameters!$C$144)*(1+Parameters!$C$12)^2</f>
        <v>170000</v>
      </c>
      <c r="G38" s="81">
        <f>(Parameters!$C$140+Parameters!$C$141+Parameters!$C$142+Parameters!$C$143+Parameters!$C$144)*(1+Parameters!$C$12)^3</f>
        <v>170000</v>
      </c>
      <c r="H38" s="81">
        <f>(Parameters!$C$140+Parameters!$C$141+Parameters!$C$142+Parameters!$C$143+Parameters!$C$144)*(1+Parameters!$C$12)^4</f>
        <v>170000</v>
      </c>
      <c r="I38" s="81">
        <f>(Parameters!$C$140+Parameters!$C$141+Parameters!$C$142+Parameters!$C$143+Parameters!$C$144)*(1+Parameters!$C$12)^5</f>
        <v>170000</v>
      </c>
      <c r="J38" s="81">
        <f>(Parameters!$C$140+Parameters!$C$141+Parameters!$C$142+Parameters!$C$143+Parameters!$C$144)*(1+Parameters!$C$12)^6</f>
        <v>170000</v>
      </c>
      <c r="K38" s="81">
        <f>(Parameters!$C$140+Parameters!$C$141+Parameters!$C$142+Parameters!$C$143+Parameters!$C$144)*(1+Parameters!$C$12)^7</f>
        <v>170000</v>
      </c>
      <c r="L38" s="81">
        <f>(Parameters!$C$140+Parameters!$C$141+Parameters!$C$142+Parameters!$C$143+Parameters!$C$144)*(1+Parameters!$C$12)^8</f>
        <v>170000</v>
      </c>
      <c r="M38" s="81">
        <f>(Parameters!$C$140+Parameters!$C$141+Parameters!$C$142+Parameters!$C$143+Parameters!$C$144)*(1+Parameters!$C$12)^9</f>
        <v>170000</v>
      </c>
      <c r="N38" s="81">
        <f>(Parameters!$C$140+Parameters!$C$141+Parameters!$C$142+Parameters!$C$143+Parameters!$C$144)*(1+Parameters!$C$12)^10</f>
        <v>170000</v>
      </c>
      <c r="O38" s="81">
        <f>(Parameters!$C$140+Parameters!$C$141+Parameters!$C$142+Parameters!$C$143+Parameters!$C$144)*(1+Parameters!$C$12)^11</f>
        <v>170000</v>
      </c>
      <c r="P38" s="81">
        <f>(Parameters!$C$140+Parameters!$C$141+Parameters!$C$142+Parameters!$C$143+Parameters!$C$144)*(1+Parameters!$C$12)^12</f>
        <v>170000</v>
      </c>
      <c r="Q38" s="81">
        <f>(Parameters!$C$140+Parameters!$C$141+Parameters!$C$142+Parameters!$C$143+Parameters!$C$144)*(1+Parameters!$C$12)^13</f>
        <v>170000</v>
      </c>
      <c r="R38" s="81">
        <f>(Parameters!$C$140+Parameters!$C$141+Parameters!$C$142+Parameters!$C$143+Parameters!$C$144)*(1+Parameters!$C$12)^14</f>
        <v>170000</v>
      </c>
      <c r="S38" s="81">
        <f>(Parameters!$C$140+Parameters!$C$141+Parameters!$C$142+Parameters!$C$143+Parameters!$C$144)*(1+Parameters!$C$12)^15</f>
        <v>170000</v>
      </c>
      <c r="T38" s="81">
        <f>(Parameters!$C$140+Parameters!$C$141+Parameters!$C$142+Parameters!$C$143+Parameters!$C$144)*(1+Parameters!$C$12)^16</f>
        <v>170000</v>
      </c>
      <c r="U38" s="81">
        <f>(Parameters!$C$140+Parameters!$C$141+Parameters!$C$142+Parameters!$C$143+Parameters!$C$144)*(1+Parameters!$C$12)^17</f>
        <v>170000</v>
      </c>
      <c r="V38" s="81">
        <f>(Parameters!$C$140+Parameters!$C$141+Parameters!$C$142+Parameters!$C$143+Parameters!$C$144)*(1+Parameters!$C$12)^18</f>
        <v>170000</v>
      </c>
      <c r="W38" s="81">
        <f>(Parameters!$C$140+Parameters!$C$141+Parameters!$C$142+Parameters!$C$143+Parameters!$C$144)*(1+Parameters!$C$12)^19</f>
        <v>170000</v>
      </c>
      <c r="X38" s="81">
        <f>(Parameters!$C$140+Parameters!$C$141+Parameters!$C$142+Parameters!$C$143+Parameters!$C$144)*(1+Parameters!$C$12)^20</f>
        <v>170000</v>
      </c>
      <c r="Y38" s="81">
        <f>(Parameters!$C$140+Parameters!$C$141+Parameters!$C$142+Parameters!$C$143+Parameters!$C$144)*(1+Parameters!$C$12)^21</f>
        <v>170000</v>
      </c>
      <c r="Z38" s="81">
        <f>(Parameters!$C$140+Parameters!$C$141+Parameters!$C$142+Parameters!$C$143+Parameters!$C$144)*(1+Parameters!$C$12)^22</f>
        <v>170000</v>
      </c>
      <c r="AA38" s="81">
        <f>(Parameters!$C$140+Parameters!$C$141+Parameters!$C$142+Parameters!$C$143+Parameters!$C$144)*(1+Parameters!$C$12)^23</f>
        <v>170000</v>
      </c>
      <c r="AB38" s="81">
        <f>(Parameters!$C$140+Parameters!$C$141+Parameters!$C$142+Parameters!$C$143+Parameters!$C$144)*(1+Parameters!$C$12)^24</f>
        <v>170000</v>
      </c>
      <c r="AC38" s="81">
        <f>(Parameters!$C$140+Parameters!$C$141+Parameters!$C$142+Parameters!$C$143+Parameters!$C$144)*(1+Parameters!$C$12)^25</f>
        <v>170000</v>
      </c>
      <c r="AD38" s="81">
        <f>(Parameters!$C$140+Parameters!$C$141+Parameters!$C$142+Parameters!$C$143+Parameters!$C$144)*(1+Parameters!$C$12)^26</f>
        <v>170000</v>
      </c>
      <c r="AE38" s="81">
        <f>(Parameters!$C$140+Parameters!$C$141+Parameters!$C$142+Parameters!$C$143+Parameters!$C$144)*(1+Parameters!$C$12)^27</f>
        <v>170000</v>
      </c>
      <c r="AF38" s="81">
        <f>(Parameters!$C$140+Parameters!$C$141+Parameters!$C$142+Parameters!$C$143+Parameters!$C$144)*(1+Parameters!$C$12)^28</f>
        <v>170000</v>
      </c>
      <c r="AG38" s="81">
        <f>(Parameters!$C$140+Parameters!$C$141+Parameters!$C$142+Parameters!$C$143+Parameters!$C$144)*(1+Parameters!$C$12)^29</f>
        <v>170000</v>
      </c>
    </row>
    <row r="39" spans="2:33" ht="15" customHeight="1" x14ac:dyDescent="0.2">
      <c r="B39" s="103" t="s">
        <v>707</v>
      </c>
      <c r="C39" s="63"/>
      <c r="D39" s="64">
        <f>-Parameters!$C$148*(1+Parameters!$C$12)^0</f>
        <v>-5000</v>
      </c>
      <c r="E39" s="64">
        <f>-Parameters!$C$148*(1+Parameters!$C$12)^1</f>
        <v>-5000</v>
      </c>
      <c r="F39" s="64">
        <f>-Parameters!$C$148*(1+Parameters!$C$12)^2</f>
        <v>-5000</v>
      </c>
      <c r="G39" s="64">
        <f>-Parameters!$C$148*(1+Parameters!$C$12)^3</f>
        <v>-5000</v>
      </c>
      <c r="H39" s="64">
        <f>-Parameters!$C$148*(1+Parameters!$C$12)^4</f>
        <v>-5000</v>
      </c>
      <c r="I39" s="64">
        <f>-Parameters!$C$148*(1+Parameters!$C$12)^5</f>
        <v>-5000</v>
      </c>
      <c r="J39" s="64">
        <f>-Parameters!$C$148*(1+Parameters!$C$12)^6</f>
        <v>-5000</v>
      </c>
      <c r="K39" s="64">
        <f>-Parameters!$C$148*(1+Parameters!$C$12)^7</f>
        <v>-5000</v>
      </c>
      <c r="L39" s="64">
        <f>-Parameters!$C$148*(1+Parameters!$C$12)^8</f>
        <v>-5000</v>
      </c>
      <c r="M39" s="64">
        <f>-Parameters!$C$148*(1+Parameters!$C$12)^9</f>
        <v>-5000</v>
      </c>
      <c r="N39" s="64">
        <f>-Parameters!$C$148*(1+Parameters!$C$12)^10</f>
        <v>-5000</v>
      </c>
      <c r="O39" s="64">
        <f>-Parameters!$C$148*(1+Parameters!$C$12)^11</f>
        <v>-5000</v>
      </c>
      <c r="P39" s="64">
        <f>-Parameters!$C$148*(1+Parameters!$C$12)^12</f>
        <v>-5000</v>
      </c>
      <c r="Q39" s="64">
        <f>-Parameters!$C$148*(1+Parameters!$C$12)^13</f>
        <v>-5000</v>
      </c>
      <c r="R39" s="64">
        <f>-Parameters!$C$148*(1+Parameters!$C$12)^14</f>
        <v>-5000</v>
      </c>
      <c r="S39" s="64">
        <f>-Parameters!$C$148*(1+Parameters!$C$12)^15</f>
        <v>-5000</v>
      </c>
      <c r="T39" s="64">
        <f>-Parameters!$C$148*(1+Parameters!$C$12)^16</f>
        <v>-5000</v>
      </c>
      <c r="U39" s="64">
        <f>-Parameters!$C$148*(1+Parameters!$C$12)^17</f>
        <v>-5000</v>
      </c>
      <c r="V39" s="64">
        <f>-Parameters!$C$148*(1+Parameters!$C$12)^18</f>
        <v>-5000</v>
      </c>
      <c r="W39" s="64">
        <f>-Parameters!$C$148*(1+Parameters!$C$12)^19</f>
        <v>-5000</v>
      </c>
      <c r="X39" s="64">
        <f>-Parameters!$C$148*(1+Parameters!$C$12)^20</f>
        <v>-5000</v>
      </c>
      <c r="Y39" s="64">
        <f>-Parameters!$C$148*(1+Parameters!$C$12)^21</f>
        <v>-5000</v>
      </c>
      <c r="Z39" s="64">
        <f>-Parameters!$C$148*(1+Parameters!$C$12)^22</f>
        <v>-5000</v>
      </c>
      <c r="AA39" s="64">
        <f>-Parameters!$C$148*(1+Parameters!$C$12)^23</f>
        <v>-5000</v>
      </c>
      <c r="AB39" s="64">
        <f>-Parameters!$C$148*(1+Parameters!$C$12)^24</f>
        <v>-5000</v>
      </c>
      <c r="AC39" s="64">
        <f>-Parameters!$C$148*(1+Parameters!$C$12)^25</f>
        <v>-5000</v>
      </c>
      <c r="AD39" s="64">
        <f>-Parameters!$C$148*(1+Parameters!$C$12)^26</f>
        <v>-5000</v>
      </c>
      <c r="AE39" s="64">
        <f>-Parameters!$C$148*(1+Parameters!$C$12)^27</f>
        <v>-5000</v>
      </c>
      <c r="AF39" s="64">
        <f>-Parameters!$C$148*(1+Parameters!$C$12)^28</f>
        <v>-5000</v>
      </c>
      <c r="AG39" s="64">
        <f>-Parameters!$C$148*(1+Parameters!$C$12)^29</f>
        <v>-5000</v>
      </c>
    </row>
    <row r="40" spans="2:33" ht="15" customHeight="1" x14ac:dyDescent="0.2">
      <c r="B40" s="104" t="s">
        <v>685</v>
      </c>
      <c r="D40" s="22">
        <f t="shared" ref="D40:AG40" si="0">D30+D31+D32+D33+D34+D35+D36+D37+D38+D39</f>
        <v>1669985.6504244225</v>
      </c>
      <c r="E40" s="22">
        <f t="shared" si="0"/>
        <v>994746.65042442246</v>
      </c>
      <c r="F40" s="22">
        <f t="shared" si="0"/>
        <v>994746.65042442246</v>
      </c>
      <c r="G40" s="22">
        <f t="shared" si="0"/>
        <v>994746.65042442246</v>
      </c>
      <c r="H40" s="22">
        <f t="shared" si="0"/>
        <v>1294746.6504244225</v>
      </c>
      <c r="I40" s="22">
        <f t="shared" si="0"/>
        <v>994746.65042442246</v>
      </c>
      <c r="J40" s="22">
        <f t="shared" si="0"/>
        <v>994746.65042442246</v>
      </c>
      <c r="K40" s="22">
        <f t="shared" si="0"/>
        <v>1394746.6504244225</v>
      </c>
      <c r="L40" s="22">
        <f t="shared" si="0"/>
        <v>994746.65042442246</v>
      </c>
      <c r="M40" s="22">
        <f t="shared" si="0"/>
        <v>1194746.6504244225</v>
      </c>
      <c r="N40" s="22">
        <f t="shared" si="0"/>
        <v>994746.65042442246</v>
      </c>
      <c r="O40" s="22">
        <f t="shared" si="0"/>
        <v>1344746.6504244225</v>
      </c>
      <c r="P40" s="22">
        <f t="shared" si="0"/>
        <v>994746.65042442246</v>
      </c>
      <c r="Q40" s="22">
        <f t="shared" si="0"/>
        <v>994746.65042442246</v>
      </c>
      <c r="R40" s="22">
        <f t="shared" si="0"/>
        <v>1244746.6504244225</v>
      </c>
      <c r="S40" s="22">
        <f t="shared" si="0"/>
        <v>994746.65042442246</v>
      </c>
      <c r="T40" s="22">
        <f t="shared" si="0"/>
        <v>994746.65042442246</v>
      </c>
      <c r="U40" s="22">
        <f t="shared" si="0"/>
        <v>1144746.6504244225</v>
      </c>
      <c r="V40" s="22">
        <f t="shared" si="0"/>
        <v>994746.65042442246</v>
      </c>
      <c r="W40" s="22">
        <f t="shared" si="0"/>
        <v>994746.65042442246</v>
      </c>
      <c r="X40" s="22">
        <f t="shared" si="0"/>
        <v>994746.65042442246</v>
      </c>
      <c r="Y40" s="22">
        <f t="shared" si="0"/>
        <v>1344746.6504244225</v>
      </c>
      <c r="Z40" s="22">
        <f t="shared" si="0"/>
        <v>994746.65042442246</v>
      </c>
      <c r="AA40" s="22">
        <f t="shared" si="0"/>
        <v>994746.65042442246</v>
      </c>
      <c r="AB40" s="22">
        <f t="shared" si="0"/>
        <v>994746.65042442246</v>
      </c>
      <c r="AC40" s="22">
        <f t="shared" si="0"/>
        <v>994746.65042442246</v>
      </c>
      <c r="AD40" s="22">
        <f t="shared" si="0"/>
        <v>994746.65042442246</v>
      </c>
      <c r="AE40" s="22">
        <f t="shared" si="0"/>
        <v>1444746.6504244225</v>
      </c>
      <c r="AF40" s="22">
        <f t="shared" si="0"/>
        <v>994746.65042442246</v>
      </c>
      <c r="AG40" s="22">
        <f t="shared" si="0"/>
        <v>11494746.650424423</v>
      </c>
    </row>
    <row r="41" spans="2:33" ht="15" customHeight="1" x14ac:dyDescent="0.2">
      <c r="B41" s="103" t="s">
        <v>686</v>
      </c>
      <c r="C41" s="63"/>
      <c r="D41" s="64">
        <f>-Benefits!D41</f>
        <v>0</v>
      </c>
      <c r="E41" s="64">
        <f>-Benefits!E41</f>
        <v>-115000</v>
      </c>
      <c r="F41" s="64">
        <f>-Benefits!F41</f>
        <v>-115000</v>
      </c>
      <c r="G41" s="64">
        <f>-Benefits!G41</f>
        <v>-115000</v>
      </c>
      <c r="H41" s="64">
        <f>-Benefits!H41</f>
        <v>-115000</v>
      </c>
      <c r="I41" s="64">
        <f>-Benefits!I41</f>
        <v>-115000</v>
      </c>
      <c r="J41" s="64">
        <f>-Benefits!J41</f>
        <v>-115000</v>
      </c>
      <c r="K41" s="64">
        <f>-Benefits!K41</f>
        <v>-115000</v>
      </c>
      <c r="L41" s="64">
        <f>-Benefits!L41</f>
        <v>-115000</v>
      </c>
      <c r="M41" s="64">
        <f>-Benefits!M41</f>
        <v>-115000</v>
      </c>
      <c r="N41" s="64">
        <f>-Benefits!N41</f>
        <v>-115000</v>
      </c>
      <c r="O41" s="64">
        <f>-Benefits!O41</f>
        <v>-115000</v>
      </c>
      <c r="P41" s="64">
        <f>-Benefits!P41</f>
        <v>-115000</v>
      </c>
      <c r="Q41" s="64">
        <f>-Benefits!Q41</f>
        <v>-115000</v>
      </c>
      <c r="R41" s="64">
        <f>-Benefits!R41</f>
        <v>-115000</v>
      </c>
      <c r="S41" s="64">
        <f>-Benefits!S41</f>
        <v>-115000</v>
      </c>
      <c r="T41" s="64">
        <f>-Benefits!T41</f>
        <v>-115000</v>
      </c>
      <c r="U41" s="64">
        <f>-Benefits!U41</f>
        <v>-115000</v>
      </c>
      <c r="V41" s="64">
        <f>-Benefits!V41</f>
        <v>-115000</v>
      </c>
      <c r="W41" s="64">
        <f>-Benefits!W41</f>
        <v>-115000</v>
      </c>
      <c r="X41" s="64">
        <f>-Benefits!X41</f>
        <v>-115000</v>
      </c>
      <c r="Y41" s="64">
        <f>-Benefits!Y41</f>
        <v>-115000</v>
      </c>
      <c r="Z41" s="64">
        <f>-Benefits!Z41</f>
        <v>-115000</v>
      </c>
      <c r="AA41" s="64">
        <f>-Benefits!AA41</f>
        <v>-115000</v>
      </c>
      <c r="AB41" s="64">
        <f>-Benefits!AB41</f>
        <v>-115000</v>
      </c>
      <c r="AC41" s="64">
        <f>-Benefits!AC41</f>
        <v>-115000</v>
      </c>
      <c r="AD41" s="64">
        <f>-Benefits!AD41</f>
        <v>-115000</v>
      </c>
      <c r="AE41" s="64">
        <f>-Benefits!AE41</f>
        <v>-115000</v>
      </c>
      <c r="AF41" s="64">
        <f>-Benefits!AF41</f>
        <v>-115000</v>
      </c>
      <c r="AG41" s="64">
        <f>-Benefits!AG41</f>
        <v>-115000</v>
      </c>
    </row>
    <row r="42" spans="2:33" ht="15" customHeight="1" x14ac:dyDescent="0.2">
      <c r="B42" s="104" t="s">
        <v>687</v>
      </c>
      <c r="D42" s="81">
        <f t="shared" ref="D42:AG42" si="1">D40+D41</f>
        <v>1669985.6504244225</v>
      </c>
      <c r="E42" s="81">
        <f t="shared" si="1"/>
        <v>879746.65042442246</v>
      </c>
      <c r="F42" s="81">
        <f t="shared" si="1"/>
        <v>879746.65042442246</v>
      </c>
      <c r="G42" s="81">
        <f t="shared" si="1"/>
        <v>879746.65042442246</v>
      </c>
      <c r="H42" s="81">
        <f t="shared" si="1"/>
        <v>1179746.6504244225</v>
      </c>
      <c r="I42" s="81">
        <f t="shared" si="1"/>
        <v>879746.65042442246</v>
      </c>
      <c r="J42" s="81">
        <f t="shared" si="1"/>
        <v>879746.65042442246</v>
      </c>
      <c r="K42" s="81">
        <f t="shared" si="1"/>
        <v>1279746.6504244225</v>
      </c>
      <c r="L42" s="81">
        <f t="shared" si="1"/>
        <v>879746.65042442246</v>
      </c>
      <c r="M42" s="81">
        <f t="shared" si="1"/>
        <v>1079746.6504244225</v>
      </c>
      <c r="N42" s="81">
        <f t="shared" si="1"/>
        <v>879746.65042442246</v>
      </c>
      <c r="O42" s="81">
        <f t="shared" si="1"/>
        <v>1229746.6504244225</v>
      </c>
      <c r="P42" s="81">
        <f t="shared" si="1"/>
        <v>879746.65042442246</v>
      </c>
      <c r="Q42" s="81">
        <f t="shared" si="1"/>
        <v>879746.65042442246</v>
      </c>
      <c r="R42" s="81">
        <f t="shared" si="1"/>
        <v>1129746.6504244225</v>
      </c>
      <c r="S42" s="81">
        <f t="shared" si="1"/>
        <v>879746.65042442246</v>
      </c>
      <c r="T42" s="81">
        <f t="shared" si="1"/>
        <v>879746.65042442246</v>
      </c>
      <c r="U42" s="81">
        <f t="shared" si="1"/>
        <v>1029746.6504244225</v>
      </c>
      <c r="V42" s="81">
        <f t="shared" si="1"/>
        <v>879746.65042442246</v>
      </c>
      <c r="W42" s="81">
        <f t="shared" si="1"/>
        <v>879746.65042442246</v>
      </c>
      <c r="X42" s="81">
        <f t="shared" si="1"/>
        <v>879746.65042442246</v>
      </c>
      <c r="Y42" s="81">
        <f t="shared" si="1"/>
        <v>1229746.6504244225</v>
      </c>
      <c r="Z42" s="81">
        <f t="shared" si="1"/>
        <v>879746.65042442246</v>
      </c>
      <c r="AA42" s="81">
        <f t="shared" si="1"/>
        <v>879746.65042442246</v>
      </c>
      <c r="AB42" s="81">
        <f t="shared" si="1"/>
        <v>879746.65042442246</v>
      </c>
      <c r="AC42" s="81">
        <f t="shared" si="1"/>
        <v>879746.65042442246</v>
      </c>
      <c r="AD42" s="81">
        <f t="shared" si="1"/>
        <v>879746.65042442246</v>
      </c>
      <c r="AE42" s="81">
        <f t="shared" si="1"/>
        <v>1329746.6504244225</v>
      </c>
      <c r="AF42" s="81">
        <f t="shared" si="1"/>
        <v>879746.65042442246</v>
      </c>
      <c r="AG42" s="81">
        <f t="shared" si="1"/>
        <v>11379746.650424423</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54"/>
  <sheetViews>
    <sheetView zoomScaleNormal="100" workbookViewId="0">
      <pane ySplit="4" topLeftCell="A5" activePane="bottomLeft" state="frozen"/>
      <selection pane="bottomLeft" activeCell="J14" sqref="J14"/>
    </sheetView>
  </sheetViews>
  <sheetFormatPr baseColWidth="10" defaultColWidth="8.6640625" defaultRowHeight="15" x14ac:dyDescent="0.2"/>
  <cols>
    <col min="1" max="1" width="4" customWidth="1"/>
    <col min="2" max="2" width="45" customWidth="1"/>
    <col min="3" max="7" width="16" customWidth="1"/>
    <col min="8" max="8" width="32" customWidth="1"/>
  </cols>
  <sheetData>
    <row r="1" spans="2:8" ht="17.25" customHeight="1" x14ac:dyDescent="0.2">
      <c r="B1" s="11" t="s">
        <v>33</v>
      </c>
    </row>
    <row r="2" spans="2:8" ht="15" customHeight="1" x14ac:dyDescent="0.2">
      <c r="B2" s="12" t="s">
        <v>34</v>
      </c>
    </row>
    <row r="4" spans="2:8" ht="15" customHeight="1" x14ac:dyDescent="0.2">
      <c r="B4" s="13" t="s">
        <v>35</v>
      </c>
      <c r="C4" s="13" t="s">
        <v>36</v>
      </c>
      <c r="D4" s="13" t="s">
        <v>37</v>
      </c>
      <c r="E4" s="13" t="s">
        <v>38</v>
      </c>
      <c r="F4" s="13" t="s">
        <v>39</v>
      </c>
      <c r="G4" s="13" t="s">
        <v>40</v>
      </c>
      <c r="H4" s="13" t="s">
        <v>41</v>
      </c>
    </row>
    <row r="5" spans="2:8" ht="30" customHeight="1" x14ac:dyDescent="0.2">
      <c r="B5" s="14" t="s">
        <v>42</v>
      </c>
      <c r="C5" s="15" t="s">
        <v>43</v>
      </c>
      <c r="D5" s="15" t="s">
        <v>44</v>
      </c>
      <c r="E5" s="15" t="s">
        <v>45</v>
      </c>
      <c r="F5" s="15" t="s">
        <v>46</v>
      </c>
      <c r="G5" s="15" t="s">
        <v>47</v>
      </c>
    </row>
    <row r="7" spans="2:8" ht="15" customHeight="1" x14ac:dyDescent="0.2">
      <c r="B7" s="16" t="s">
        <v>48</v>
      </c>
      <c r="C7" s="16"/>
      <c r="D7" s="16"/>
      <c r="E7" s="16"/>
      <c r="F7" s="16"/>
      <c r="G7" s="16"/>
      <c r="H7" s="16"/>
    </row>
    <row r="8" spans="2:8" ht="15" customHeight="1" x14ac:dyDescent="0.2">
      <c r="B8" s="17" t="s">
        <v>49</v>
      </c>
      <c r="C8" s="18">
        <f>'Scenario A - Do Minimum'!F5</f>
        <v>-1164739</v>
      </c>
      <c r="D8" s="18">
        <f>'Scenario B - Full Rebuild'!F5</f>
        <v>-47348603.336675003</v>
      </c>
      <c r="E8" s="18">
        <f>'Scenario C - Split'!F5</f>
        <v>-44483803.346000001</v>
      </c>
      <c r="F8" s="18">
        <f>'Scenario D - Purchase'!F5</f>
        <v>-20802030</v>
      </c>
      <c r="G8" s="18">
        <f>'Scenario E - Purchase+DoMin TH'!F5</f>
        <v>-8127217.5</v>
      </c>
      <c r="H8" s="19" t="s">
        <v>50</v>
      </c>
    </row>
    <row r="9" spans="2:8" ht="15" customHeight="1" x14ac:dyDescent="0.2">
      <c r="B9" s="17" t="s">
        <v>51</v>
      </c>
      <c r="C9" s="20">
        <f>'Scenario A - Do Minimum'!G5</f>
        <v>0</v>
      </c>
      <c r="D9" s="18">
        <f>'Scenario B - Full Rebuild'!G5</f>
        <v>46848603.336675003</v>
      </c>
      <c r="E9" s="18">
        <f>'Scenario C - Split'!G5</f>
        <v>43983803.346000001</v>
      </c>
      <c r="F9" s="18">
        <f>'Scenario D - Purchase'!G5</f>
        <v>20302030</v>
      </c>
      <c r="G9" s="18">
        <f>'Scenario E - Purchase+DoMin TH'!G5</f>
        <v>7627217.5</v>
      </c>
      <c r="H9" s="19" t="s">
        <v>52</v>
      </c>
    </row>
    <row r="10" spans="2:8" ht="15" customHeight="1" x14ac:dyDescent="0.2">
      <c r="B10" s="17" t="s">
        <v>53</v>
      </c>
      <c r="C10" s="20">
        <f>'Scenario A - Do Minimum'!H5</f>
        <v>0</v>
      </c>
      <c r="D10" s="18">
        <f>'Scenario B - Full Rebuild'!H5</f>
        <v>2876108.0419511436</v>
      </c>
      <c r="E10" s="18">
        <f>'Scenario C - Split'!H5</f>
        <v>2700233.5503990822</v>
      </c>
      <c r="F10" s="18">
        <f>'Scenario D - Purchase'!H5</f>
        <v>1246372.9458765453</v>
      </c>
      <c r="G10" s="18">
        <f>'Scenario E - Purchase+DoMin TH'!H5</f>
        <v>468246.65042442252</v>
      </c>
      <c r="H10" s="19" t="s">
        <v>54</v>
      </c>
    </row>
    <row r="12" spans="2:8" ht="15" customHeight="1" x14ac:dyDescent="0.2">
      <c r="B12" s="16" t="s">
        <v>55</v>
      </c>
      <c r="C12" s="16"/>
      <c r="D12" s="16"/>
      <c r="E12" s="16"/>
      <c r="F12" s="16"/>
      <c r="G12" s="16"/>
      <c r="H12" s="16"/>
    </row>
    <row r="13" spans="2:8" ht="15" customHeight="1" x14ac:dyDescent="0.2">
      <c r="B13" s="17" t="s">
        <v>56</v>
      </c>
      <c r="C13" s="18">
        <f>'Scenario A - Do Minimum'!D5</f>
        <v>-23698512.424714629</v>
      </c>
      <c r="D13" s="18">
        <f>'Scenario B - Full Rebuild'!D5</f>
        <v>-57814686.019570529</v>
      </c>
      <c r="E13" s="18">
        <f>'Scenario C - Split'!D5</f>
        <v>-54941593.085810028</v>
      </c>
      <c r="F13" s="18">
        <f>'Scenario D - Purchase'!D5</f>
        <v>-28128968.991964217</v>
      </c>
      <c r="G13" s="18">
        <f>'Scenario E - Purchase+DoMin TH'!D5</f>
        <v>-22490992.094195765</v>
      </c>
      <c r="H13" s="19" t="s">
        <v>57</v>
      </c>
    </row>
    <row r="14" spans="2:8" ht="15" customHeight="1" x14ac:dyDescent="0.2">
      <c r="B14" s="17" t="s">
        <v>58</v>
      </c>
      <c r="C14" s="21">
        <f>C15-C13</f>
        <v>0</v>
      </c>
      <c r="D14" s="22">
        <f>D15-D13</f>
        <v>6815497.0096722767</v>
      </c>
      <c r="E14" s="22">
        <f>E15-E13</f>
        <v>5154572.8946944177</v>
      </c>
      <c r="F14" s="22">
        <f>F15-F13</f>
        <v>5462103.2205680795</v>
      </c>
      <c r="G14" s="22">
        <f>G15-G13</f>
        <v>1878006.9064994864</v>
      </c>
      <c r="H14" s="19" t="s">
        <v>59</v>
      </c>
    </row>
    <row r="15" spans="2:8" ht="15" customHeight="1" x14ac:dyDescent="0.2">
      <c r="B15" s="17" t="s">
        <v>60</v>
      </c>
      <c r="C15" s="23">
        <f>'Scenario A - Do Minimum'!E5</f>
        <v>-23698512.424714629</v>
      </c>
      <c r="D15" s="23">
        <f>'Scenario B - Full Rebuild'!E5</f>
        <v>-50999189.009898253</v>
      </c>
      <c r="E15" s="23">
        <f>'Scenario C - Split'!E5</f>
        <v>-49787020.19111561</v>
      </c>
      <c r="F15" s="23">
        <f>'Scenario D - Purchase'!E5</f>
        <v>-22666865.771396138</v>
      </c>
      <c r="G15" s="24">
        <f>'Scenario E - Purchase+DoMin TH'!E5</f>
        <v>-20612985.187696278</v>
      </c>
      <c r="H15" s="19" t="s">
        <v>61</v>
      </c>
    </row>
    <row r="16" spans="2:8" ht="15" customHeight="1" x14ac:dyDescent="0.2">
      <c r="B16" s="14" t="s">
        <v>62</v>
      </c>
      <c r="C16" s="25">
        <f>C15-MAX($C$15:$G$15)</f>
        <v>-3085527.2370183505</v>
      </c>
      <c r="D16" s="25">
        <f>D15-MAX($C$15:$G$15)</f>
        <v>-30386203.822201975</v>
      </c>
      <c r="E16" s="25">
        <f>E15-MAX($C$15:$G$15)</f>
        <v>-29174035.003419332</v>
      </c>
      <c r="F16" s="25">
        <f>F15-MAX($C$15:$G$15)</f>
        <v>-2053880.5836998597</v>
      </c>
      <c r="G16" s="25">
        <f>G15-MAX($C$15:$G$15)</f>
        <v>0</v>
      </c>
      <c r="H16" s="19" t="s">
        <v>63</v>
      </c>
    </row>
    <row r="18" spans="2:8" ht="15" customHeight="1" x14ac:dyDescent="0.2">
      <c r="B18" s="16" t="s">
        <v>64</v>
      </c>
      <c r="C18" s="16"/>
      <c r="D18" s="16"/>
      <c r="E18" s="16"/>
      <c r="F18" s="16"/>
      <c r="G18" s="16"/>
      <c r="H18" s="16"/>
    </row>
    <row r="19" spans="2:8" ht="15" customHeight="1" x14ac:dyDescent="0.2">
      <c r="B19" s="17" t="s">
        <v>65</v>
      </c>
      <c r="C19" s="26">
        <f>Parameters!$C$18</f>
        <v>32400</v>
      </c>
      <c r="D19" s="27">
        <f>C19</f>
        <v>32400</v>
      </c>
      <c r="E19" s="27">
        <f>C19</f>
        <v>32400</v>
      </c>
      <c r="F19" s="27">
        <f>C19</f>
        <v>32400</v>
      </c>
      <c r="G19" s="27">
        <f>Parameters!$C$18</f>
        <v>32400</v>
      </c>
    </row>
    <row r="20" spans="2:8" ht="15" customHeight="1" x14ac:dyDescent="0.2">
      <c r="B20" s="17" t="s">
        <v>66</v>
      </c>
      <c r="C20" s="25">
        <f>C15/C19</f>
        <v>-731.43556866403173</v>
      </c>
      <c r="D20" s="25">
        <f>D15/D19</f>
        <v>-1574.0490435153781</v>
      </c>
      <c r="E20" s="25">
        <f>E15/E19</f>
        <v>-1536.6364256517163</v>
      </c>
      <c r="F20" s="25">
        <f>F15/F19</f>
        <v>-699.59462257395489</v>
      </c>
      <c r="G20" s="25">
        <f>G15/G19</f>
        <v>-636.2032465338358</v>
      </c>
    </row>
    <row r="21" spans="2:8" ht="15" customHeight="1" x14ac:dyDescent="0.2">
      <c r="B21" s="17" t="s">
        <v>67</v>
      </c>
      <c r="C21" s="28">
        <f>C15/Parameters!$C$7/C19</f>
        <v>-24.381185622134392</v>
      </c>
      <c r="D21" s="28">
        <f>D15/Parameters!$C$7/D19</f>
        <v>-52.468301450512612</v>
      </c>
      <c r="E21" s="28">
        <f>E15/Parameters!$C$7/E19</f>
        <v>-51.221214188390547</v>
      </c>
      <c r="F21" s="28">
        <f>F15/Parameters!$C$7/F19</f>
        <v>-23.319820752465162</v>
      </c>
      <c r="G21" s="28">
        <f>G15/Parameters!$C$7/G19</f>
        <v>-21.206774884461193</v>
      </c>
    </row>
    <row r="23" spans="2:8" ht="15" customHeight="1" x14ac:dyDescent="0.2"/>
    <row r="24" spans="2:8" ht="15" customHeight="1" x14ac:dyDescent="0.2">
      <c r="B24" s="16" t="s">
        <v>68</v>
      </c>
      <c r="C24" s="16"/>
      <c r="D24" s="16"/>
      <c r="E24" s="16"/>
      <c r="F24" s="16"/>
      <c r="G24" s="16"/>
      <c r="H24" s="16"/>
    </row>
    <row r="25" spans="2:8" ht="15" customHeight="1" x14ac:dyDescent="0.2">
      <c r="B25" s="17" t="s">
        <v>69</v>
      </c>
      <c r="C25" s="15" t="s">
        <v>70</v>
      </c>
      <c r="D25" s="15" t="s">
        <v>71</v>
      </c>
      <c r="E25" s="15" t="s">
        <v>72</v>
      </c>
      <c r="F25" s="15" t="s">
        <v>72</v>
      </c>
      <c r="G25" s="15" t="s">
        <v>72</v>
      </c>
    </row>
    <row r="26" spans="2:8" ht="15" customHeight="1" x14ac:dyDescent="0.2">
      <c r="B26" s="17" t="s">
        <v>73</v>
      </c>
      <c r="C26" s="15" t="s">
        <v>74</v>
      </c>
      <c r="D26" s="15" t="s">
        <v>75</v>
      </c>
      <c r="E26" s="15" t="s">
        <v>76</v>
      </c>
      <c r="F26" s="15" t="s">
        <v>77</v>
      </c>
      <c r="G26" s="15" t="s">
        <v>77</v>
      </c>
    </row>
    <row r="27" spans="2:8" ht="15" customHeight="1" x14ac:dyDescent="0.2">
      <c r="B27" s="17" t="s">
        <v>78</v>
      </c>
      <c r="C27" s="15" t="s">
        <v>79</v>
      </c>
      <c r="D27" s="15" t="s">
        <v>80</v>
      </c>
      <c r="E27" s="15" t="s">
        <v>80</v>
      </c>
      <c r="F27" s="15" t="s">
        <v>81</v>
      </c>
      <c r="G27" s="15" t="s">
        <v>81</v>
      </c>
    </row>
    <row r="28" spans="2:8" ht="15" customHeight="1" x14ac:dyDescent="0.2">
      <c r="B28" s="17" t="s">
        <v>82</v>
      </c>
      <c r="C28" s="15" t="s">
        <v>83</v>
      </c>
      <c r="D28" s="15" t="s">
        <v>84</v>
      </c>
      <c r="E28" s="15" t="s">
        <v>85</v>
      </c>
      <c r="F28" s="15" t="s">
        <v>85</v>
      </c>
      <c r="G28" s="15" t="s">
        <v>85</v>
      </c>
    </row>
    <row r="29" spans="2:8" ht="15" customHeight="1" x14ac:dyDescent="0.2">
      <c r="B29" s="17" t="s">
        <v>86</v>
      </c>
      <c r="C29" s="15" t="s">
        <v>87</v>
      </c>
      <c r="D29" s="15" t="s">
        <v>88</v>
      </c>
      <c r="E29" s="15" t="s">
        <v>88</v>
      </c>
      <c r="F29" s="15" t="s">
        <v>88</v>
      </c>
      <c r="G29" s="15" t="s">
        <v>88</v>
      </c>
    </row>
    <row r="30" spans="2:8" ht="15" customHeight="1" x14ac:dyDescent="0.2">
      <c r="B30" s="17" t="s">
        <v>89</v>
      </c>
      <c r="C30" s="15" t="s">
        <v>87</v>
      </c>
      <c r="D30" s="15" t="s">
        <v>88</v>
      </c>
      <c r="E30" s="15" t="s">
        <v>90</v>
      </c>
      <c r="F30" s="15" t="s">
        <v>90</v>
      </c>
      <c r="G30" s="15" t="s">
        <v>90</v>
      </c>
    </row>
    <row r="31" spans="2:8" ht="15" customHeight="1" x14ac:dyDescent="0.2">
      <c r="B31" s="17" t="s">
        <v>91</v>
      </c>
      <c r="C31" s="15" t="s">
        <v>92</v>
      </c>
      <c r="D31" s="15" t="s">
        <v>93</v>
      </c>
      <c r="E31" s="15" t="s">
        <v>94</v>
      </c>
      <c r="F31" s="15" t="s">
        <v>95</v>
      </c>
      <c r="G31" s="15" t="s">
        <v>96</v>
      </c>
    </row>
    <row r="32" spans="2:8" ht="15" customHeight="1" x14ac:dyDescent="0.2">
      <c r="B32" s="17" t="s">
        <v>97</v>
      </c>
      <c r="C32" s="15" t="s">
        <v>98</v>
      </c>
      <c r="D32" s="15" t="s">
        <v>99</v>
      </c>
      <c r="E32" s="15" t="s">
        <v>100</v>
      </c>
      <c r="F32" s="15" t="s">
        <v>101</v>
      </c>
      <c r="G32" s="15" t="s">
        <v>102</v>
      </c>
    </row>
    <row r="33" spans="2:8" ht="15" customHeight="1" x14ac:dyDescent="0.2">
      <c r="B33" s="17" t="s">
        <v>103</v>
      </c>
      <c r="C33" s="15" t="s">
        <v>104</v>
      </c>
      <c r="D33" s="15" t="s">
        <v>105</v>
      </c>
      <c r="E33" s="15" t="s">
        <v>106</v>
      </c>
      <c r="F33" s="15" t="s">
        <v>106</v>
      </c>
      <c r="G33" s="15" t="s">
        <v>106</v>
      </c>
    </row>
    <row r="34" spans="2:8" ht="15" customHeight="1" x14ac:dyDescent="0.2">
      <c r="B34" s="17" t="s">
        <v>107</v>
      </c>
      <c r="C34" s="15" t="s">
        <v>108</v>
      </c>
      <c r="D34" s="15" t="s">
        <v>109</v>
      </c>
      <c r="E34" s="15" t="s">
        <v>110</v>
      </c>
      <c r="F34" s="15" t="s">
        <v>111</v>
      </c>
      <c r="G34" s="15" t="s">
        <v>112</v>
      </c>
    </row>
    <row r="35" spans="2:8" ht="15" customHeight="1" x14ac:dyDescent="0.2">
      <c r="B35" s="17" t="s">
        <v>113</v>
      </c>
      <c r="C35" s="15" t="s">
        <v>114</v>
      </c>
      <c r="D35" s="15" t="s">
        <v>115</v>
      </c>
      <c r="E35" s="15" t="s">
        <v>115</v>
      </c>
      <c r="F35" s="15" t="s">
        <v>115</v>
      </c>
      <c r="G35" s="15" t="s">
        <v>115</v>
      </c>
    </row>
    <row r="36" spans="2:8" ht="15" customHeight="1" x14ac:dyDescent="0.2">
      <c r="B36" s="17" t="s">
        <v>116</v>
      </c>
      <c r="C36" s="15" t="s">
        <v>117</v>
      </c>
      <c r="D36" s="15" t="s">
        <v>118</v>
      </c>
      <c r="E36" s="15" t="s">
        <v>118</v>
      </c>
      <c r="F36" s="15" t="s">
        <v>119</v>
      </c>
      <c r="G36" s="15" t="s">
        <v>119</v>
      </c>
    </row>
    <row r="37" spans="2:8" ht="15" customHeight="1" x14ac:dyDescent="0.2"/>
    <row r="38" spans="2:8" ht="21.75" customHeight="1" x14ac:dyDescent="0.2">
      <c r="B38" s="16" t="s">
        <v>120</v>
      </c>
      <c r="C38" s="16"/>
      <c r="D38" s="16"/>
      <c r="E38" s="16"/>
      <c r="F38" s="16"/>
      <c r="G38" s="16"/>
      <c r="H38" s="16"/>
    </row>
    <row r="39" spans="2:8" ht="15" customHeight="1" x14ac:dyDescent="0.2">
      <c r="B39" s="19" t="s">
        <v>121</v>
      </c>
    </row>
    <row r="40" spans="2:8" ht="15" customHeight="1" x14ac:dyDescent="0.2">
      <c r="B40" s="19" t="s">
        <v>122</v>
      </c>
    </row>
    <row r="41" spans="2:8" ht="15" customHeight="1" x14ac:dyDescent="0.2">
      <c r="B41" s="19" t="s">
        <v>123</v>
      </c>
    </row>
    <row r="42" spans="2:8" ht="15" customHeight="1" x14ac:dyDescent="0.2">
      <c r="B42" s="19" t="s">
        <v>124</v>
      </c>
    </row>
    <row r="43" spans="2:8" ht="21.75" customHeight="1" x14ac:dyDescent="0.2">
      <c r="B43" s="19" t="s">
        <v>125</v>
      </c>
    </row>
    <row r="44" spans="2:8" ht="15" customHeight="1" x14ac:dyDescent="0.2">
      <c r="B44" s="19" t="s">
        <v>126</v>
      </c>
    </row>
    <row r="45" spans="2:8" ht="15" customHeight="1" x14ac:dyDescent="0.2">
      <c r="B45" s="19" t="s">
        <v>127</v>
      </c>
    </row>
    <row r="46" spans="2:8" ht="15" customHeight="1" x14ac:dyDescent="0.2">
      <c r="B46" s="19" t="s">
        <v>128</v>
      </c>
    </row>
    <row r="47" spans="2:8" ht="15" customHeight="1" x14ac:dyDescent="0.2">
      <c r="B47" s="19" t="s">
        <v>129</v>
      </c>
    </row>
    <row r="48" spans="2: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8"/>
  <sheetViews>
    <sheetView showGridLines="0" zoomScaleNormal="100" workbookViewId="0">
      <selection activeCell="C4" sqref="C4"/>
    </sheetView>
  </sheetViews>
  <sheetFormatPr baseColWidth="10" defaultColWidth="8.6640625" defaultRowHeight="15" x14ac:dyDescent="0.2"/>
  <cols>
    <col min="1" max="1" width="3" customWidth="1"/>
    <col min="2" max="2" width="42" customWidth="1"/>
    <col min="3" max="7" width="17" customWidth="1"/>
  </cols>
  <sheetData>
    <row r="1" spans="2:8" ht="18" customHeight="1" x14ac:dyDescent="0.2">
      <c r="B1" s="29" t="s">
        <v>130</v>
      </c>
    </row>
    <row r="2" spans="2:8" ht="42" customHeight="1" x14ac:dyDescent="0.2">
      <c r="B2" s="3" t="s">
        <v>131</v>
      </c>
      <c r="C2" s="3"/>
      <c r="D2" s="3"/>
      <c r="E2" s="3"/>
      <c r="F2" s="3"/>
      <c r="G2" s="3"/>
    </row>
    <row r="4" spans="2:8" ht="15" customHeight="1" x14ac:dyDescent="0.2">
      <c r="B4" s="30" t="s">
        <v>35</v>
      </c>
      <c r="C4" s="31" t="s">
        <v>36</v>
      </c>
      <c r="D4" s="31" t="s">
        <v>37</v>
      </c>
      <c r="E4" s="31" t="s">
        <v>38</v>
      </c>
      <c r="F4" s="31" t="s">
        <v>39</v>
      </c>
      <c r="G4" s="31" t="s">
        <v>40</v>
      </c>
    </row>
    <row r="5" spans="2:8" ht="15" customHeight="1" x14ac:dyDescent="0.2">
      <c r="B5" s="32" t="s">
        <v>132</v>
      </c>
      <c r="C5" s="33">
        <f>Parameters!$C$22</f>
        <v>13330087</v>
      </c>
      <c r="D5" s="33">
        <f>Parameters!$C$22</f>
        <v>13330087</v>
      </c>
      <c r="E5" s="33">
        <f>Parameters!$C$22</f>
        <v>13330087</v>
      </c>
      <c r="F5" s="33">
        <f>Parameters!$C$22</f>
        <v>13330087</v>
      </c>
      <c r="G5" s="33">
        <f>Parameters!$C$22</f>
        <v>13330087</v>
      </c>
      <c r="H5" s="34" t="s">
        <v>133</v>
      </c>
    </row>
    <row r="6" spans="2:8" ht="15" customHeight="1" x14ac:dyDescent="0.2">
      <c r="B6" s="35" t="s">
        <v>134</v>
      </c>
      <c r="C6" s="33">
        <f>'Scenario A - Do Minimum'!H5</f>
        <v>0</v>
      </c>
      <c r="D6" s="33">
        <f>'Scenario B - Full Rebuild'!H5</f>
        <v>2876108.0419511436</v>
      </c>
      <c r="E6" s="33">
        <f>'Scenario C - Split'!H5</f>
        <v>2700233.5503990822</v>
      </c>
      <c r="F6" s="33">
        <f>'Scenario D - Purchase'!H5</f>
        <v>1246372.9458765453</v>
      </c>
      <c r="G6" s="33">
        <f>'Scenario E - Purchase+DoMin TH'!H5</f>
        <v>468246.65042442252</v>
      </c>
    </row>
    <row r="7" spans="2:8" ht="15" customHeight="1" x14ac:dyDescent="0.2">
      <c r="B7" s="32" t="s">
        <v>135</v>
      </c>
      <c r="C7" s="36">
        <f>C6/C5</f>
        <v>0</v>
      </c>
      <c r="D7" s="36">
        <f>D6/D5</f>
        <v>0.21576063546705612</v>
      </c>
      <c r="E7" s="36">
        <f>E6/E5</f>
        <v>0.2025668362403848</v>
      </c>
      <c r="F7" s="36">
        <f>F6/F5</f>
        <v>9.3500736032446394E-2</v>
      </c>
      <c r="G7" s="36">
        <f>G6/G5</f>
        <v>3.5127051340656856E-2</v>
      </c>
    </row>
    <row r="8" spans="2:8" ht="15" customHeight="1" x14ac:dyDescent="0.2">
      <c r="B8" s="32" t="s">
        <v>136</v>
      </c>
      <c r="C8" s="33">
        <f>Parameters!$C$20</f>
        <v>4800000000</v>
      </c>
      <c r="D8" s="33">
        <f>Parameters!$C$20</f>
        <v>4800000000</v>
      </c>
      <c r="E8" s="33">
        <f>Parameters!$C$20</f>
        <v>4800000000</v>
      </c>
      <c r="F8" s="33">
        <f>Parameters!$C$20</f>
        <v>4800000000</v>
      </c>
      <c r="G8" s="33">
        <f>Parameters!$C$20</f>
        <v>4800000000</v>
      </c>
      <c r="H8" s="34" t="s">
        <v>137</v>
      </c>
    </row>
    <row r="9" spans="2:8" ht="15" customHeight="1" x14ac:dyDescent="0.2">
      <c r="B9" s="32" t="s">
        <v>138</v>
      </c>
      <c r="C9" s="33">
        <f>Parameters!$C$21</f>
        <v>332100</v>
      </c>
      <c r="D9" s="33">
        <f>Parameters!$C$21</f>
        <v>332100</v>
      </c>
      <c r="E9" s="33">
        <f>Parameters!$C$21</f>
        <v>332100</v>
      </c>
      <c r="F9" s="33">
        <f>Parameters!$C$21</f>
        <v>332100</v>
      </c>
      <c r="G9" s="33">
        <f>Parameters!$C$21</f>
        <v>332100</v>
      </c>
      <c r="H9" s="34" t="s">
        <v>137</v>
      </c>
    </row>
    <row r="10" spans="2:8" ht="15" customHeight="1" x14ac:dyDescent="0.2">
      <c r="B10" s="35" t="s">
        <v>139</v>
      </c>
      <c r="C10" s="37">
        <f>(C6/C8)*C9</f>
        <v>0</v>
      </c>
      <c r="D10" s="37">
        <f>(D6/D8)*D9</f>
        <v>198.99072515249475</v>
      </c>
      <c r="E10" s="37">
        <f>(E6/E8)*E9</f>
        <v>186.8224087682365</v>
      </c>
      <c r="F10" s="37">
        <f>(F6/F8)*F9</f>
        <v>86.233428192833472</v>
      </c>
      <c r="G10" s="37">
        <f>(G6/G8)*G9</f>
        <v>32.396815126239737</v>
      </c>
    </row>
    <row r="11" spans="2:8" ht="15" customHeight="1" x14ac:dyDescent="0.2">
      <c r="B11" s="32" t="s">
        <v>140</v>
      </c>
      <c r="C11" s="37">
        <f>C10/12</f>
        <v>0</v>
      </c>
      <c r="D11" s="37">
        <f>D10/12</f>
        <v>16.582560429374563</v>
      </c>
      <c r="E11" s="37">
        <f>E10/12</f>
        <v>15.568534064019708</v>
      </c>
      <c r="F11" s="37">
        <f>F10/12</f>
        <v>7.1861190160694557</v>
      </c>
      <c r="G11" s="37">
        <f>G10/12</f>
        <v>2.6997345938533113</v>
      </c>
    </row>
    <row r="13" spans="2:8" ht="15" customHeight="1" x14ac:dyDescent="0.2">
      <c r="B13" s="38" t="s">
        <v>141</v>
      </c>
    </row>
    <row r="14" spans="2:8" ht="25.5" customHeight="1" x14ac:dyDescent="0.2">
      <c r="B14" s="2" t="s">
        <v>142</v>
      </c>
      <c r="C14" s="2"/>
      <c r="D14" s="2"/>
      <c r="E14" s="2"/>
      <c r="F14" s="2"/>
      <c r="G14" s="2"/>
    </row>
    <row r="15" spans="2:8" ht="25.5" customHeight="1" x14ac:dyDescent="0.2">
      <c r="B15" s="2" t="s">
        <v>143</v>
      </c>
      <c r="C15" s="2"/>
      <c r="D15" s="2"/>
      <c r="E15" s="2"/>
      <c r="F15" s="2"/>
      <c r="G15" s="2"/>
    </row>
    <row r="16" spans="2:8" ht="25.5" customHeight="1" x14ac:dyDescent="0.2">
      <c r="B16" s="2" t="s">
        <v>144</v>
      </c>
      <c r="C16" s="2"/>
      <c r="D16" s="2"/>
      <c r="E16" s="2"/>
      <c r="F16" s="2"/>
      <c r="G16" s="2"/>
    </row>
    <row r="17" spans="2:7" ht="25.5" customHeight="1" x14ac:dyDescent="0.2">
      <c r="B17" s="2" t="s">
        <v>145</v>
      </c>
      <c r="C17" s="2"/>
      <c r="D17" s="2"/>
      <c r="E17" s="2"/>
      <c r="F17" s="2"/>
      <c r="G17" s="2"/>
    </row>
    <row r="18" spans="2:7" ht="25.5" customHeight="1" x14ac:dyDescent="0.2">
      <c r="B18" s="2" t="s">
        <v>146</v>
      </c>
      <c r="C18" s="2"/>
      <c r="D18" s="2"/>
      <c r="E18" s="2"/>
      <c r="F18" s="2"/>
      <c r="G18" s="2"/>
    </row>
  </sheetData>
  <mergeCells count="6">
    <mergeCell ref="B18:G18"/>
    <mergeCell ref="B2:G2"/>
    <mergeCell ref="B14:G14"/>
    <mergeCell ref="B15:G15"/>
    <mergeCell ref="B16:G16"/>
    <mergeCell ref="B17:G17"/>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68"/>
  <sheetViews>
    <sheetView zoomScaleNormal="100" workbookViewId="0">
      <pane ySplit="4" topLeftCell="A5" activePane="bottomLeft" state="frozen"/>
      <selection pane="bottomLeft" activeCell="B11" sqref="B11"/>
    </sheetView>
  </sheetViews>
  <sheetFormatPr baseColWidth="10" defaultColWidth="8.6640625" defaultRowHeight="15" x14ac:dyDescent="0.2"/>
  <cols>
    <col min="1" max="1" width="4" customWidth="1"/>
    <col min="2" max="2" width="40" customWidth="1"/>
    <col min="3" max="3" width="62" customWidth="1"/>
  </cols>
  <sheetData>
    <row r="1" spans="2:3" ht="17.25" customHeight="1" x14ac:dyDescent="0.2">
      <c r="B1" s="11" t="s">
        <v>147</v>
      </c>
    </row>
    <row r="2" spans="2:3" ht="45.75" customHeight="1" x14ac:dyDescent="0.2">
      <c r="B2" s="39" t="s">
        <v>148</v>
      </c>
    </row>
    <row r="4" spans="2:3" ht="15" customHeight="1" x14ac:dyDescent="0.2">
      <c r="B4" s="40" t="s">
        <v>149</v>
      </c>
      <c r="C4" s="40"/>
    </row>
    <row r="5" spans="2:3" ht="15" customHeight="1" x14ac:dyDescent="0.2">
      <c r="B5" s="34" t="s">
        <v>150</v>
      </c>
    </row>
    <row r="6" spans="2:3" ht="15" customHeight="1" x14ac:dyDescent="0.2">
      <c r="B6" s="41" t="s">
        <v>151</v>
      </c>
      <c r="C6" s="41"/>
    </row>
    <row r="7" spans="2:3" ht="63.75" customHeight="1" x14ac:dyDescent="0.2">
      <c r="B7" s="42" t="s">
        <v>152</v>
      </c>
      <c r="C7" s="43" t="s">
        <v>153</v>
      </c>
    </row>
    <row r="8" spans="2:3" ht="63.75" customHeight="1" x14ac:dyDescent="0.2">
      <c r="B8" s="42" t="s">
        <v>154</v>
      </c>
      <c r="C8" s="43" t="s">
        <v>155</v>
      </c>
    </row>
    <row r="9" spans="2:3" ht="63.75" customHeight="1" x14ac:dyDescent="0.2">
      <c r="B9" s="42" t="s">
        <v>156</v>
      </c>
      <c r="C9" s="43" t="s">
        <v>157</v>
      </c>
    </row>
    <row r="10" spans="2:3" ht="79.5" customHeight="1" x14ac:dyDescent="0.2">
      <c r="B10" s="44" t="s">
        <v>158</v>
      </c>
      <c r="C10" s="45" t="s">
        <v>159</v>
      </c>
    </row>
    <row r="11" spans="2:3" ht="15" customHeight="1" x14ac:dyDescent="0.2">
      <c r="B11" s="41" t="s">
        <v>160</v>
      </c>
      <c r="C11" s="41"/>
    </row>
    <row r="12" spans="2:3" ht="63.75" customHeight="1" x14ac:dyDescent="0.2">
      <c r="B12" s="42" t="s">
        <v>161</v>
      </c>
      <c r="C12" s="43" t="s">
        <v>162</v>
      </c>
    </row>
    <row r="13" spans="2:3" ht="63.75" customHeight="1" x14ac:dyDescent="0.2">
      <c r="B13" s="42" t="s">
        <v>163</v>
      </c>
      <c r="C13" s="43" t="s">
        <v>164</v>
      </c>
    </row>
    <row r="14" spans="2:3" ht="48" customHeight="1" x14ac:dyDescent="0.2">
      <c r="B14" s="42" t="s">
        <v>165</v>
      </c>
      <c r="C14" s="43" t="s">
        <v>166</v>
      </c>
    </row>
    <row r="15" spans="2:3" ht="48" customHeight="1" x14ac:dyDescent="0.2">
      <c r="B15" s="42" t="s">
        <v>167</v>
      </c>
      <c r="C15" s="43" t="s">
        <v>168</v>
      </c>
    </row>
    <row r="16" spans="2:3" ht="15" customHeight="1" x14ac:dyDescent="0.2">
      <c r="B16" s="41" t="s">
        <v>169</v>
      </c>
      <c r="C16" s="41"/>
    </row>
    <row r="17" spans="2:3" ht="48" customHeight="1" x14ac:dyDescent="0.2">
      <c r="B17" s="42" t="s">
        <v>170</v>
      </c>
      <c r="C17" s="43" t="s">
        <v>171</v>
      </c>
    </row>
    <row r="18" spans="2:3" ht="48" customHeight="1" x14ac:dyDescent="0.2">
      <c r="B18" s="42" t="s">
        <v>172</v>
      </c>
      <c r="C18" s="43" t="s">
        <v>173</v>
      </c>
    </row>
    <row r="19" spans="2:3" ht="15" customHeight="1" x14ac:dyDescent="0.2">
      <c r="B19" s="41" t="s">
        <v>174</v>
      </c>
      <c r="C19" s="41"/>
    </row>
    <row r="20" spans="2:3" ht="63.75" customHeight="1" x14ac:dyDescent="0.2">
      <c r="B20" s="42" t="s">
        <v>175</v>
      </c>
      <c r="C20" s="43" t="s">
        <v>176</v>
      </c>
    </row>
    <row r="21" spans="2:3" ht="48" customHeight="1" x14ac:dyDescent="0.2">
      <c r="B21" s="42" t="s">
        <v>177</v>
      </c>
      <c r="C21" s="43" t="s">
        <v>178</v>
      </c>
    </row>
    <row r="22" spans="2:3" ht="15" customHeight="1" x14ac:dyDescent="0.2">
      <c r="B22" s="41" t="s">
        <v>179</v>
      </c>
      <c r="C22" s="41"/>
    </row>
    <row r="23" spans="2:3" ht="63.75" customHeight="1" x14ac:dyDescent="0.2">
      <c r="B23" s="42" t="s">
        <v>180</v>
      </c>
      <c r="C23" s="43" t="s">
        <v>181</v>
      </c>
    </row>
    <row r="24" spans="2:3" ht="63.75" customHeight="1" x14ac:dyDescent="0.2">
      <c r="B24" s="42" t="s">
        <v>182</v>
      </c>
      <c r="C24" s="43" t="s">
        <v>183</v>
      </c>
    </row>
    <row r="25" spans="2:3" ht="15" customHeight="1" x14ac:dyDescent="0.2">
      <c r="B25" s="42" t="s">
        <v>184</v>
      </c>
      <c r="C25" s="43" t="s">
        <v>185</v>
      </c>
    </row>
    <row r="26" spans="2:3" ht="48" customHeight="1" x14ac:dyDescent="0.2">
      <c r="B26" s="41" t="s">
        <v>186</v>
      </c>
      <c r="C26" s="41"/>
    </row>
    <row r="27" spans="2:3" ht="51.75" customHeight="1" x14ac:dyDescent="0.2">
      <c r="B27" s="42" t="s">
        <v>187</v>
      </c>
      <c r="C27" s="43" t="s">
        <v>188</v>
      </c>
    </row>
    <row r="28" spans="2:3" ht="15" customHeight="1" x14ac:dyDescent="0.2"/>
    <row r="29" spans="2:3" ht="32.25" customHeight="1" x14ac:dyDescent="0.2">
      <c r="B29" s="40" t="s">
        <v>189</v>
      </c>
      <c r="C29" s="40"/>
    </row>
    <row r="30" spans="2:3" ht="15" customHeight="1" x14ac:dyDescent="0.2">
      <c r="B30" s="46" t="s">
        <v>190</v>
      </c>
    </row>
    <row r="31" spans="2:3" ht="15" customHeight="1" x14ac:dyDescent="0.2">
      <c r="B31" s="41" t="s">
        <v>191</v>
      </c>
      <c r="C31" s="41"/>
    </row>
    <row r="32" spans="2:3" ht="15" customHeight="1" x14ac:dyDescent="0.2">
      <c r="B32" s="17" t="s">
        <v>192</v>
      </c>
      <c r="C32" s="47" t="s">
        <v>193</v>
      </c>
    </row>
    <row r="33" spans="2:3" ht="15" customHeight="1" x14ac:dyDescent="0.2">
      <c r="B33" s="17" t="s">
        <v>194</v>
      </c>
      <c r="C33" s="47" t="s">
        <v>195</v>
      </c>
    </row>
    <row r="34" spans="2:3" ht="15" customHeight="1" x14ac:dyDescent="0.2">
      <c r="B34" s="17" t="s">
        <v>196</v>
      </c>
      <c r="C34" s="47" t="s">
        <v>197</v>
      </c>
    </row>
    <row r="35" spans="2:3" ht="15" customHeight="1" x14ac:dyDescent="0.2">
      <c r="B35" s="41" t="s">
        <v>198</v>
      </c>
      <c r="C35" s="41"/>
    </row>
    <row r="36" spans="2:3" ht="15" customHeight="1" x14ac:dyDescent="0.2">
      <c r="B36" s="17" t="s">
        <v>199</v>
      </c>
      <c r="C36" s="47" t="s">
        <v>200</v>
      </c>
    </row>
    <row r="37" spans="2:3" ht="15" customHeight="1" x14ac:dyDescent="0.2">
      <c r="B37" s="17" t="s">
        <v>201</v>
      </c>
      <c r="C37" s="47" t="s">
        <v>202</v>
      </c>
    </row>
    <row r="38" spans="2:3" ht="15" customHeight="1" x14ac:dyDescent="0.2">
      <c r="B38" s="17" t="s">
        <v>203</v>
      </c>
      <c r="C38" s="47" t="s">
        <v>204</v>
      </c>
    </row>
    <row r="39" spans="2:3" ht="15" customHeight="1" x14ac:dyDescent="0.2">
      <c r="B39" s="17" t="s">
        <v>205</v>
      </c>
      <c r="C39" s="47" t="s">
        <v>206</v>
      </c>
    </row>
    <row r="40" spans="2:3" ht="15" customHeight="1" x14ac:dyDescent="0.2">
      <c r="B40" s="41" t="s">
        <v>207</v>
      </c>
      <c r="C40" s="41"/>
    </row>
    <row r="41" spans="2:3" ht="15" customHeight="1" x14ac:dyDescent="0.2">
      <c r="B41" s="17" t="s">
        <v>20</v>
      </c>
      <c r="C41" s="47" t="s">
        <v>208</v>
      </c>
    </row>
    <row r="42" spans="2:3" ht="15" customHeight="1" x14ac:dyDescent="0.2">
      <c r="B42" s="17" t="s">
        <v>22</v>
      </c>
      <c r="C42" s="47" t="s">
        <v>209</v>
      </c>
    </row>
    <row r="43" spans="2:3" ht="15" customHeight="1" x14ac:dyDescent="0.2">
      <c r="B43" s="17" t="s">
        <v>24</v>
      </c>
      <c r="C43" s="47" t="s">
        <v>210</v>
      </c>
    </row>
    <row r="44" spans="2:3" ht="15" customHeight="1" x14ac:dyDescent="0.2">
      <c r="B44" s="17" t="s">
        <v>26</v>
      </c>
      <c r="C44" s="47" t="s">
        <v>211</v>
      </c>
    </row>
    <row r="45" spans="2:3" ht="15" customHeight="1" x14ac:dyDescent="0.2">
      <c r="B45" s="17" t="s">
        <v>28</v>
      </c>
      <c r="C45" s="47" t="s">
        <v>212</v>
      </c>
    </row>
    <row r="46" spans="2:3" ht="15" customHeight="1" x14ac:dyDescent="0.2">
      <c r="B46" s="41" t="s">
        <v>213</v>
      </c>
      <c r="C46" s="41"/>
    </row>
    <row r="47" spans="2:3" ht="15" customHeight="1" x14ac:dyDescent="0.2">
      <c r="B47" s="17" t="s">
        <v>214</v>
      </c>
      <c r="C47" s="47" t="s">
        <v>215</v>
      </c>
    </row>
    <row r="48" spans="2:3" ht="15" customHeight="1" x14ac:dyDescent="0.2">
      <c r="B48" s="17" t="s">
        <v>216</v>
      </c>
      <c r="C48" s="47" t="s">
        <v>217</v>
      </c>
    </row>
    <row r="49" spans="2:5" ht="15" customHeight="1" x14ac:dyDescent="0.2">
      <c r="B49" s="17" t="s">
        <v>218</v>
      </c>
      <c r="C49" s="47" t="s">
        <v>219</v>
      </c>
    </row>
    <row r="50" spans="2:5" ht="15" customHeight="1" x14ac:dyDescent="0.2">
      <c r="B50" s="17" t="s">
        <v>220</v>
      </c>
      <c r="C50" s="47" t="s">
        <v>221</v>
      </c>
    </row>
    <row r="51" spans="2:5" ht="15" customHeight="1" x14ac:dyDescent="0.2">
      <c r="B51" s="17" t="s">
        <v>222</v>
      </c>
      <c r="C51" s="47" t="s">
        <v>223</v>
      </c>
    </row>
    <row r="52" spans="2:5" ht="15" customHeight="1" x14ac:dyDescent="0.2">
      <c r="B52" s="41" t="s">
        <v>224</v>
      </c>
      <c r="C52" s="41"/>
    </row>
    <row r="53" spans="2:5" ht="15" customHeight="1" x14ac:dyDescent="0.2">
      <c r="B53" s="17" t="s">
        <v>20</v>
      </c>
      <c r="C53" s="47" t="s">
        <v>225</v>
      </c>
    </row>
    <row r="54" spans="2:5" ht="15" customHeight="1" x14ac:dyDescent="0.2">
      <c r="B54" s="17" t="s">
        <v>22</v>
      </c>
      <c r="C54" s="47" t="s">
        <v>226</v>
      </c>
    </row>
    <row r="55" spans="2:5" ht="15" customHeight="1" x14ac:dyDescent="0.2">
      <c r="B55" s="17" t="s">
        <v>24</v>
      </c>
      <c r="C55" s="47" t="s">
        <v>227</v>
      </c>
    </row>
    <row r="56" spans="2:5" ht="23.25" customHeight="1" x14ac:dyDescent="0.2">
      <c r="B56" s="17" t="s">
        <v>26</v>
      </c>
      <c r="C56" s="47" t="s">
        <v>228</v>
      </c>
    </row>
    <row r="57" spans="2:5" ht="15" customHeight="1" x14ac:dyDescent="0.2">
      <c r="B57" s="17" t="s">
        <v>28</v>
      </c>
      <c r="C57" s="47" t="s">
        <v>229</v>
      </c>
    </row>
    <row r="58" spans="2:5" ht="32.25" customHeight="1" x14ac:dyDescent="0.2"/>
    <row r="59" spans="2:5" ht="157.5" customHeight="1" x14ac:dyDescent="0.2">
      <c r="B59" s="48" t="s">
        <v>230</v>
      </c>
      <c r="C59" s="48"/>
      <c r="D59" s="48"/>
      <c r="E59" s="48"/>
    </row>
    <row r="60" spans="2:5" ht="95.25" customHeight="1" x14ac:dyDescent="0.2">
      <c r="B60" s="49" t="s">
        <v>231</v>
      </c>
    </row>
    <row r="61" spans="2:5" ht="63.75" customHeight="1" x14ac:dyDescent="0.2">
      <c r="B61" s="17" t="s">
        <v>232</v>
      </c>
      <c r="C61" s="20">
        <v>170000</v>
      </c>
      <c r="E61" s="49" t="s">
        <v>233</v>
      </c>
    </row>
    <row r="62" spans="2:5" ht="84.75" customHeight="1" x14ac:dyDescent="0.2">
      <c r="B62" s="17" t="s">
        <v>234</v>
      </c>
      <c r="C62" s="20">
        <v>65000</v>
      </c>
      <c r="E62" s="49" t="s">
        <v>235</v>
      </c>
    </row>
    <row r="63" spans="2:5" ht="53.25" customHeight="1" x14ac:dyDescent="0.2">
      <c r="B63" s="17" t="s">
        <v>236</v>
      </c>
      <c r="C63" s="20">
        <v>20000</v>
      </c>
      <c r="E63" s="49" t="s">
        <v>237</v>
      </c>
    </row>
    <row r="64" spans="2:5" ht="63.75" customHeight="1" x14ac:dyDescent="0.2">
      <c r="B64" s="17" t="s">
        <v>238</v>
      </c>
      <c r="C64" s="20">
        <v>20000</v>
      </c>
      <c r="E64" s="49" t="s">
        <v>239</v>
      </c>
    </row>
    <row r="65" spans="2:5" ht="63.75" customHeight="1" x14ac:dyDescent="0.2">
      <c r="B65" s="17" t="s">
        <v>240</v>
      </c>
      <c r="C65" s="20">
        <v>40000</v>
      </c>
      <c r="E65" s="49" t="s">
        <v>241</v>
      </c>
    </row>
    <row r="66" spans="2:5" ht="84.75" customHeight="1" x14ac:dyDescent="0.2">
      <c r="B66" s="17" t="s">
        <v>242</v>
      </c>
      <c r="C66" s="20">
        <v>30000</v>
      </c>
      <c r="E66" s="49" t="s">
        <v>243</v>
      </c>
    </row>
    <row r="67" spans="2:5" ht="84.75" customHeight="1" x14ac:dyDescent="0.2">
      <c r="B67" s="17" t="s">
        <v>244</v>
      </c>
      <c r="C67" s="20">
        <v>10000</v>
      </c>
      <c r="E67" s="49" t="s">
        <v>245</v>
      </c>
    </row>
    <row r="68" spans="2:5" ht="84.75" customHeight="1" x14ac:dyDescent="0.2">
      <c r="B68" s="17" t="s">
        <v>246</v>
      </c>
      <c r="C68" s="20">
        <v>25000</v>
      </c>
      <c r="E68" s="49" t="s">
        <v>247</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166"/>
  <sheetViews>
    <sheetView zoomScaleNormal="100" workbookViewId="0">
      <pane ySplit="5" topLeftCell="A6" activePane="bottomLeft" state="frozen"/>
      <selection pane="bottomLeft" activeCell="H22" sqref="H22"/>
    </sheetView>
  </sheetViews>
  <sheetFormatPr baseColWidth="10" defaultColWidth="8.6640625" defaultRowHeight="15" x14ac:dyDescent="0.2"/>
  <cols>
    <col min="1" max="1" width="5" customWidth="1"/>
    <col min="2" max="2" width="50" customWidth="1"/>
    <col min="3" max="3" width="18" customWidth="1"/>
    <col min="4" max="4" width="12" customWidth="1"/>
    <col min="5" max="5" width="70" customWidth="1"/>
  </cols>
  <sheetData>
    <row r="1" spans="2:5" ht="17.25" customHeight="1" x14ac:dyDescent="0.2">
      <c r="B1" s="11" t="s">
        <v>248</v>
      </c>
    </row>
    <row r="2" spans="2:5" ht="15" customHeight="1" x14ac:dyDescent="0.2">
      <c r="B2" s="12" t="s">
        <v>249</v>
      </c>
    </row>
    <row r="3" spans="2:5" ht="15" customHeight="1" x14ac:dyDescent="0.2">
      <c r="B3" s="19" t="s">
        <v>250</v>
      </c>
    </row>
    <row r="5" spans="2:5" ht="15" customHeight="1" x14ac:dyDescent="0.2">
      <c r="B5" s="13" t="s">
        <v>251</v>
      </c>
      <c r="C5" s="13" t="s">
        <v>252</v>
      </c>
      <c r="D5" s="13" t="s">
        <v>253</v>
      </c>
      <c r="E5" s="13" t="s">
        <v>254</v>
      </c>
    </row>
    <row r="6" spans="2:5" ht="15" customHeight="1" x14ac:dyDescent="0.2">
      <c r="B6" s="16" t="s">
        <v>255</v>
      </c>
      <c r="C6" s="16"/>
      <c r="D6" s="16"/>
      <c r="E6" s="16"/>
    </row>
    <row r="7" spans="2:5" ht="15" customHeight="1" x14ac:dyDescent="0.2">
      <c r="B7" t="s">
        <v>256</v>
      </c>
      <c r="C7" s="50">
        <v>30</v>
      </c>
      <c r="D7" s="12" t="s">
        <v>257</v>
      </c>
      <c r="E7" s="19" t="s">
        <v>258</v>
      </c>
    </row>
    <row r="8" spans="2:5" ht="15" customHeight="1" x14ac:dyDescent="0.2">
      <c r="B8" t="s">
        <v>259</v>
      </c>
      <c r="C8" s="50">
        <v>2027</v>
      </c>
      <c r="D8" s="12" t="s">
        <v>260</v>
      </c>
      <c r="E8" s="19" t="s">
        <v>261</v>
      </c>
    </row>
    <row r="9" spans="2:5" ht="15" customHeight="1" x14ac:dyDescent="0.2">
      <c r="B9" t="s">
        <v>262</v>
      </c>
      <c r="C9" s="51">
        <v>0.04</v>
      </c>
      <c r="D9" s="12" t="s">
        <v>263</v>
      </c>
      <c r="E9" s="19" t="s">
        <v>264</v>
      </c>
    </row>
    <row r="10" spans="2:5" ht="15" customHeight="1" x14ac:dyDescent="0.2">
      <c r="B10" t="s">
        <v>265</v>
      </c>
      <c r="C10" s="51">
        <v>0</v>
      </c>
      <c r="D10" s="12" t="s">
        <v>263</v>
      </c>
      <c r="E10" s="19" t="s">
        <v>734</v>
      </c>
    </row>
    <row r="11" spans="2:5" ht="15" customHeight="1" x14ac:dyDescent="0.2">
      <c r="B11" t="s">
        <v>266</v>
      </c>
      <c r="C11" s="51">
        <v>0</v>
      </c>
      <c r="D11" s="12" t="s">
        <v>263</v>
      </c>
      <c r="E11" s="19" t="s">
        <v>735</v>
      </c>
    </row>
    <row r="12" spans="2:5" ht="15" customHeight="1" x14ac:dyDescent="0.2">
      <c r="B12" t="s">
        <v>267</v>
      </c>
      <c r="C12" s="51">
        <v>0</v>
      </c>
      <c r="D12" s="12" t="s">
        <v>263</v>
      </c>
      <c r="E12" s="19" t="s">
        <v>735</v>
      </c>
    </row>
    <row r="13" spans="2:5" ht="15" customHeight="1" x14ac:dyDescent="0.2">
      <c r="B13" t="s">
        <v>268</v>
      </c>
      <c r="C13" s="51">
        <v>0</v>
      </c>
      <c r="D13" s="12" t="s">
        <v>263</v>
      </c>
      <c r="E13" s="19" t="s">
        <v>735</v>
      </c>
    </row>
    <row r="14" spans="2:5" ht="15" customHeight="1" x14ac:dyDescent="0.2">
      <c r="B14" t="s">
        <v>269</v>
      </c>
      <c r="C14" s="52">
        <v>4.4999999999999998E-2</v>
      </c>
      <c r="D14" s="12" t="s">
        <v>263</v>
      </c>
      <c r="E14" s="19" t="s">
        <v>270</v>
      </c>
    </row>
    <row r="15" spans="2:5" ht="15" customHeight="1" x14ac:dyDescent="0.2">
      <c r="B15" t="s">
        <v>271</v>
      </c>
      <c r="C15" s="50">
        <v>30</v>
      </c>
      <c r="D15" s="12" t="s">
        <v>257</v>
      </c>
      <c r="E15" s="19" t="s">
        <v>258</v>
      </c>
    </row>
    <row r="17" spans="2:5" ht="15" customHeight="1" x14ac:dyDescent="0.2">
      <c r="B17" s="16" t="s">
        <v>272</v>
      </c>
      <c r="C17" s="16"/>
      <c r="D17" s="16"/>
      <c r="E17" s="16"/>
    </row>
    <row r="18" spans="2:5" ht="15" customHeight="1" x14ac:dyDescent="0.2">
      <c r="B18" t="s">
        <v>65</v>
      </c>
      <c r="C18" s="53">
        <v>32400</v>
      </c>
      <c r="D18" s="12" t="s">
        <v>273</v>
      </c>
      <c r="E18" s="19" t="s">
        <v>274</v>
      </c>
    </row>
    <row r="19" spans="2:5" ht="15" customHeight="1" x14ac:dyDescent="0.2">
      <c r="B19" t="s">
        <v>275</v>
      </c>
      <c r="C19" s="54">
        <v>14000</v>
      </c>
      <c r="D19" s="12" t="s">
        <v>276</v>
      </c>
      <c r="E19" s="19" t="s">
        <v>277</v>
      </c>
    </row>
    <row r="20" spans="2:5" ht="15" customHeight="1" x14ac:dyDescent="0.2">
      <c r="B20" t="s">
        <v>136</v>
      </c>
      <c r="C20" s="55">
        <v>4800000000</v>
      </c>
      <c r="D20" s="12" t="s">
        <v>278</v>
      </c>
      <c r="E20" s="56" t="s">
        <v>279</v>
      </c>
    </row>
    <row r="21" spans="2:5" ht="15" customHeight="1" x14ac:dyDescent="0.2">
      <c r="B21" t="s">
        <v>138</v>
      </c>
      <c r="C21" s="55">
        <v>332100</v>
      </c>
      <c r="D21" s="12" t="s">
        <v>278</v>
      </c>
      <c r="E21" s="56" t="s">
        <v>280</v>
      </c>
    </row>
    <row r="22" spans="2:5" ht="15" customHeight="1" x14ac:dyDescent="0.2">
      <c r="B22" t="s">
        <v>281</v>
      </c>
      <c r="C22" s="55">
        <v>13330087</v>
      </c>
      <c r="D22" s="12" t="s">
        <v>282</v>
      </c>
      <c r="E22" s="19" t="s">
        <v>283</v>
      </c>
    </row>
    <row r="23" spans="2:5" ht="15" customHeight="1" x14ac:dyDescent="0.2">
      <c r="B23" t="s">
        <v>284</v>
      </c>
      <c r="C23" s="57">
        <f>Parameters!$C$22/Parameters!$C$20*1000</f>
        <v>2.7771014583333331</v>
      </c>
      <c r="D23" s="12" t="s">
        <v>278</v>
      </c>
      <c r="E23" s="19" t="s">
        <v>285</v>
      </c>
    </row>
    <row r="25" spans="2:5" ht="15" customHeight="1" x14ac:dyDescent="0.2">
      <c r="B25" s="16" t="s">
        <v>286</v>
      </c>
      <c r="C25" s="16"/>
      <c r="D25" s="16"/>
      <c r="E25" s="16"/>
    </row>
    <row r="26" spans="2:5" ht="15" customHeight="1" x14ac:dyDescent="0.2">
      <c r="B26" t="s">
        <v>287</v>
      </c>
      <c r="C26" s="58">
        <v>14473</v>
      </c>
      <c r="D26" s="12" t="s">
        <v>288</v>
      </c>
      <c r="E26" s="19" t="s">
        <v>289</v>
      </c>
    </row>
    <row r="27" spans="2:5" ht="15" customHeight="1" x14ac:dyDescent="0.2">
      <c r="B27" t="s">
        <v>290</v>
      </c>
      <c r="C27" s="50">
        <v>22</v>
      </c>
      <c r="D27" s="12" t="s">
        <v>291</v>
      </c>
      <c r="E27" s="19" t="s">
        <v>292</v>
      </c>
    </row>
    <row r="28" spans="2:5" ht="15" customHeight="1" x14ac:dyDescent="0.2">
      <c r="B28" t="s">
        <v>293</v>
      </c>
      <c r="C28" s="50" t="s">
        <v>118</v>
      </c>
      <c r="D28" s="12" t="s">
        <v>294</v>
      </c>
      <c r="E28" s="19" t="s">
        <v>295</v>
      </c>
    </row>
    <row r="29" spans="2:5" ht="15" customHeight="1" x14ac:dyDescent="0.2">
      <c r="B29" t="s">
        <v>296</v>
      </c>
      <c r="C29" s="55">
        <v>1000000</v>
      </c>
      <c r="D29" s="12" t="s">
        <v>278</v>
      </c>
      <c r="E29" s="19" t="s">
        <v>297</v>
      </c>
    </row>
    <row r="31" spans="2:5" ht="15" customHeight="1" x14ac:dyDescent="0.2">
      <c r="B31" t="s">
        <v>298</v>
      </c>
      <c r="C31" s="50">
        <v>9441</v>
      </c>
      <c r="D31" s="12" t="s">
        <v>288</v>
      </c>
      <c r="E31" s="19" t="s">
        <v>299</v>
      </c>
    </row>
    <row r="32" spans="2:5" ht="15" customHeight="1" x14ac:dyDescent="0.2">
      <c r="B32" t="s">
        <v>300</v>
      </c>
      <c r="C32" s="50">
        <v>46</v>
      </c>
      <c r="D32" s="12" t="s">
        <v>291</v>
      </c>
      <c r="E32" s="19" t="s">
        <v>301</v>
      </c>
    </row>
    <row r="33" spans="2:5" ht="15" customHeight="1" x14ac:dyDescent="0.2">
      <c r="B33" t="s">
        <v>302</v>
      </c>
      <c r="C33" s="54">
        <v>7</v>
      </c>
      <c r="D33" s="12" t="s">
        <v>291</v>
      </c>
      <c r="E33" s="19" t="s">
        <v>303</v>
      </c>
    </row>
    <row r="34" spans="2:5" ht="15" customHeight="1" x14ac:dyDescent="0.2">
      <c r="B34" t="s">
        <v>304</v>
      </c>
      <c r="C34" s="55">
        <v>106203</v>
      </c>
      <c r="D34" s="12" t="s">
        <v>282</v>
      </c>
      <c r="E34" s="19" t="s">
        <v>305</v>
      </c>
    </row>
    <row r="35" spans="2:5" ht="15" customHeight="1" x14ac:dyDescent="0.2">
      <c r="B35" t="s">
        <v>306</v>
      </c>
      <c r="C35" s="51">
        <v>0.02</v>
      </c>
      <c r="D35" s="12" t="s">
        <v>263</v>
      </c>
      <c r="E35" s="19" t="s">
        <v>299</v>
      </c>
    </row>
    <row r="36" spans="2:5" ht="15" customHeight="1" x14ac:dyDescent="0.2">
      <c r="B36" t="s">
        <v>307</v>
      </c>
      <c r="C36" s="50" t="s">
        <v>308</v>
      </c>
      <c r="D36" s="12" t="s">
        <v>309</v>
      </c>
      <c r="E36" s="19" t="s">
        <v>310</v>
      </c>
    </row>
    <row r="38" spans="2:5" ht="15" customHeight="1" x14ac:dyDescent="0.2">
      <c r="B38" s="16" t="s">
        <v>311</v>
      </c>
      <c r="C38" s="16"/>
      <c r="D38" s="16"/>
      <c r="E38" s="16"/>
    </row>
    <row r="39" spans="2:5" ht="15" customHeight="1" x14ac:dyDescent="0.2">
      <c r="B39" t="s">
        <v>312</v>
      </c>
      <c r="C39" s="50">
        <v>425</v>
      </c>
      <c r="D39" s="12" t="s">
        <v>313</v>
      </c>
      <c r="E39" s="19" t="s">
        <v>314</v>
      </c>
    </row>
    <row r="40" spans="2:5" ht="15" customHeight="1" x14ac:dyDescent="0.2">
      <c r="B40" s="59" t="s">
        <v>315</v>
      </c>
      <c r="C40" s="60">
        <f>Parameters!$C$32+Parameters!$C$33</f>
        <v>53</v>
      </c>
    </row>
    <row r="41" spans="2:5" ht="15" customHeight="1" x14ac:dyDescent="0.2">
      <c r="B41" s="59" t="s">
        <v>316</v>
      </c>
      <c r="C41" s="60">
        <f>Parameters!$C$40*Parameters!$C$39</f>
        <v>22525</v>
      </c>
    </row>
    <row r="42" spans="2:5" ht="15" customHeight="1" x14ac:dyDescent="0.2">
      <c r="B42" s="59" t="s">
        <v>317</v>
      </c>
      <c r="C42" s="61">
        <f>Parameters!$C$31/Parameters!$C$32</f>
        <v>205.2391304347826</v>
      </c>
      <c r="E42" s="19" t="s">
        <v>318</v>
      </c>
    </row>
    <row r="44" spans="2:5" ht="15" customHeight="1" x14ac:dyDescent="0.2">
      <c r="B44" s="16" t="s">
        <v>319</v>
      </c>
      <c r="C44" s="16"/>
      <c r="D44" s="16"/>
      <c r="E44" s="16"/>
    </row>
    <row r="45" spans="2:5" ht="15" customHeight="1" x14ac:dyDescent="0.2">
      <c r="B45" t="s">
        <v>320</v>
      </c>
      <c r="C45" s="55">
        <v>24600</v>
      </c>
      <c r="D45" s="12" t="s">
        <v>282</v>
      </c>
      <c r="E45" s="19" t="s">
        <v>321</v>
      </c>
    </row>
    <row r="46" spans="2:5" ht="15" customHeight="1" x14ac:dyDescent="0.2">
      <c r="B46" t="s">
        <v>322</v>
      </c>
      <c r="C46" s="55">
        <v>10000</v>
      </c>
      <c r="D46" s="12" t="s">
        <v>282</v>
      </c>
      <c r="E46" s="19" t="s">
        <v>323</v>
      </c>
    </row>
    <row r="47" spans="2:5" ht="15" customHeight="1" x14ac:dyDescent="0.2">
      <c r="B47" t="s">
        <v>324</v>
      </c>
      <c r="C47" s="55">
        <v>17160</v>
      </c>
      <c r="D47" s="12" t="s">
        <v>282</v>
      </c>
      <c r="E47" s="19" t="s">
        <v>305</v>
      </c>
    </row>
    <row r="48" spans="2:5" ht="15" customHeight="1" x14ac:dyDescent="0.2">
      <c r="B48" t="s">
        <v>325</v>
      </c>
      <c r="C48" s="55">
        <v>7480</v>
      </c>
      <c r="D48" s="12" t="s">
        <v>282</v>
      </c>
      <c r="E48" s="19" t="s">
        <v>305</v>
      </c>
    </row>
    <row r="49" spans="2:5" ht="15" customHeight="1" x14ac:dyDescent="0.2">
      <c r="B49" t="s">
        <v>326</v>
      </c>
      <c r="C49" s="55">
        <v>3000</v>
      </c>
      <c r="D49" s="12" t="s">
        <v>282</v>
      </c>
      <c r="E49" s="19" t="s">
        <v>305</v>
      </c>
    </row>
    <row r="50" spans="2:5" ht="15" customHeight="1" x14ac:dyDescent="0.2">
      <c r="B50" t="s">
        <v>327</v>
      </c>
      <c r="C50" s="55">
        <v>1300</v>
      </c>
      <c r="D50" s="12" t="s">
        <v>282</v>
      </c>
      <c r="E50" s="19" t="s">
        <v>305</v>
      </c>
    </row>
    <row r="51" spans="2:5" ht="15" customHeight="1" x14ac:dyDescent="0.2">
      <c r="B51" t="s">
        <v>328</v>
      </c>
      <c r="C51" s="55">
        <v>1000</v>
      </c>
      <c r="D51" s="12" t="s">
        <v>282</v>
      </c>
      <c r="E51" s="19" t="s">
        <v>305</v>
      </c>
    </row>
    <row r="52" spans="2:5" ht="15" customHeight="1" x14ac:dyDescent="0.2">
      <c r="B52" t="s">
        <v>329</v>
      </c>
      <c r="C52" s="55">
        <v>1000</v>
      </c>
      <c r="D52" s="12" t="s">
        <v>282</v>
      </c>
      <c r="E52" s="19" t="s">
        <v>305</v>
      </c>
    </row>
    <row r="53" spans="2:5" ht="15" customHeight="1" x14ac:dyDescent="0.2">
      <c r="B53" t="s">
        <v>330</v>
      </c>
      <c r="C53" s="55">
        <v>3000</v>
      </c>
      <c r="D53" s="12" t="s">
        <v>282</v>
      </c>
      <c r="E53" s="19" t="s">
        <v>305</v>
      </c>
    </row>
    <row r="54" spans="2:5" ht="15" customHeight="1" x14ac:dyDescent="0.2">
      <c r="B54" t="s">
        <v>331</v>
      </c>
      <c r="C54" s="62">
        <v>8000</v>
      </c>
      <c r="D54" s="12" t="s">
        <v>282</v>
      </c>
      <c r="E54" s="19" t="s">
        <v>303</v>
      </c>
    </row>
    <row r="55" spans="2:5" ht="15" customHeight="1" x14ac:dyDescent="0.2">
      <c r="B55" t="s">
        <v>332</v>
      </c>
      <c r="C55" s="55">
        <v>24960</v>
      </c>
      <c r="D55" s="12" t="s">
        <v>282</v>
      </c>
      <c r="E55" s="19" t="s">
        <v>305</v>
      </c>
    </row>
    <row r="56" spans="2:5" ht="15" customHeight="1" x14ac:dyDescent="0.2">
      <c r="B56" t="s">
        <v>333</v>
      </c>
      <c r="C56" s="55">
        <v>0</v>
      </c>
      <c r="D56" s="12" t="s">
        <v>282</v>
      </c>
      <c r="E56" s="56" t="s">
        <v>334</v>
      </c>
    </row>
    <row r="57" spans="2:5" ht="15" customHeight="1" x14ac:dyDescent="0.2">
      <c r="B57" s="63" t="s">
        <v>335</v>
      </c>
      <c r="C57" s="64">
        <f>SUM(C45:C56)</f>
        <v>101500</v>
      </c>
      <c r="D57" s="63"/>
      <c r="E57" s="63"/>
    </row>
    <row r="59" spans="2:5" ht="15" customHeight="1" x14ac:dyDescent="0.2">
      <c r="B59" s="16" t="s">
        <v>336</v>
      </c>
      <c r="C59" s="16"/>
      <c r="D59" s="16"/>
      <c r="E59" s="16"/>
    </row>
    <row r="60" spans="2:5" ht="15" customHeight="1" x14ac:dyDescent="0.2">
      <c r="B60" t="s">
        <v>337</v>
      </c>
      <c r="C60" s="55">
        <v>5676</v>
      </c>
      <c r="D60" s="12" t="s">
        <v>282</v>
      </c>
      <c r="E60" s="19" t="s">
        <v>338</v>
      </c>
    </row>
    <row r="61" spans="2:5" ht="15" customHeight="1" x14ac:dyDescent="0.2">
      <c r="B61" t="s">
        <v>339</v>
      </c>
      <c r="C61" s="55">
        <v>4000</v>
      </c>
      <c r="D61" s="12" t="s">
        <v>282</v>
      </c>
      <c r="E61" s="19" t="s">
        <v>305</v>
      </c>
    </row>
    <row r="62" spans="2:5" ht="15" customHeight="1" x14ac:dyDescent="0.2">
      <c r="B62" t="s">
        <v>328</v>
      </c>
      <c r="C62" s="55">
        <v>360</v>
      </c>
      <c r="D62" s="12" t="s">
        <v>282</v>
      </c>
      <c r="E62" s="19" t="s">
        <v>305</v>
      </c>
    </row>
    <row r="63" spans="2:5" ht="15" customHeight="1" x14ac:dyDescent="0.2">
      <c r="B63" t="s">
        <v>340</v>
      </c>
      <c r="C63" s="55">
        <v>15000</v>
      </c>
      <c r="D63" s="12" t="s">
        <v>282</v>
      </c>
      <c r="E63" s="19" t="s">
        <v>305</v>
      </c>
    </row>
    <row r="64" spans="2:5" ht="15" customHeight="1" x14ac:dyDescent="0.2">
      <c r="B64" s="63" t="s">
        <v>341</v>
      </c>
      <c r="C64" s="64">
        <f>Parameters!$C$34+SUM(C60:C63)</f>
        <v>131239</v>
      </c>
      <c r="D64" s="63"/>
      <c r="E64" s="63"/>
    </row>
    <row r="66" spans="2:5" ht="15" customHeight="1" x14ac:dyDescent="0.2">
      <c r="B66" s="16" t="s">
        <v>342</v>
      </c>
      <c r="C66" s="16"/>
      <c r="D66" s="16"/>
      <c r="E66" s="16"/>
    </row>
    <row r="67" spans="2:5" ht="15" customHeight="1" x14ac:dyDescent="0.2">
      <c r="B67" t="s">
        <v>343</v>
      </c>
      <c r="C67" s="55">
        <v>300000</v>
      </c>
      <c r="D67" s="12" t="s">
        <v>344</v>
      </c>
      <c r="E67" s="19" t="s">
        <v>345</v>
      </c>
    </row>
    <row r="68" spans="2:5" ht="15" customHeight="1" x14ac:dyDescent="0.2">
      <c r="B68" t="s">
        <v>346</v>
      </c>
      <c r="C68" s="55">
        <v>400000</v>
      </c>
      <c r="D68" s="12" t="s">
        <v>344</v>
      </c>
      <c r="E68" s="19" t="s">
        <v>347</v>
      </c>
    </row>
    <row r="69" spans="2:5" ht="15" customHeight="1" x14ac:dyDescent="0.2">
      <c r="B69" t="s">
        <v>348</v>
      </c>
      <c r="C69" s="55">
        <v>200000</v>
      </c>
      <c r="D69" s="12" t="s">
        <v>344</v>
      </c>
      <c r="E69" s="19" t="s">
        <v>349</v>
      </c>
    </row>
    <row r="70" spans="2:5" ht="15" customHeight="1" x14ac:dyDescent="0.2">
      <c r="B70" t="s">
        <v>350</v>
      </c>
      <c r="C70" s="55">
        <v>350000</v>
      </c>
      <c r="D70" s="12" t="s">
        <v>344</v>
      </c>
      <c r="E70" s="19" t="s">
        <v>351</v>
      </c>
    </row>
    <row r="71" spans="2:5" ht="15" customHeight="1" x14ac:dyDescent="0.2">
      <c r="B71" t="s">
        <v>352</v>
      </c>
      <c r="C71" s="55">
        <v>250000</v>
      </c>
      <c r="D71" s="12" t="s">
        <v>344</v>
      </c>
      <c r="E71" s="19" t="s">
        <v>353</v>
      </c>
    </row>
    <row r="72" spans="2:5" ht="15" customHeight="1" x14ac:dyDescent="0.2">
      <c r="B72" t="s">
        <v>354</v>
      </c>
      <c r="C72" s="55">
        <v>150000</v>
      </c>
      <c r="D72" s="12" t="s">
        <v>344</v>
      </c>
      <c r="E72" s="19" t="s">
        <v>355</v>
      </c>
    </row>
    <row r="73" spans="2:5" ht="15" customHeight="1" x14ac:dyDescent="0.2">
      <c r="B73" t="s">
        <v>356</v>
      </c>
      <c r="C73" s="55">
        <v>350000</v>
      </c>
      <c r="D73" s="12" t="s">
        <v>344</v>
      </c>
      <c r="E73" s="19" t="s">
        <v>357</v>
      </c>
    </row>
    <row r="74" spans="2:5" ht="15" customHeight="1" x14ac:dyDescent="0.2">
      <c r="B74" t="s">
        <v>358</v>
      </c>
      <c r="C74" s="55">
        <v>450000</v>
      </c>
      <c r="D74" s="12" t="s">
        <v>344</v>
      </c>
      <c r="E74" s="19" t="s">
        <v>357</v>
      </c>
    </row>
    <row r="76" spans="2:5" ht="15" customHeight="1" x14ac:dyDescent="0.2">
      <c r="B76" s="16" t="s">
        <v>359</v>
      </c>
      <c r="C76" s="16"/>
      <c r="D76" s="16"/>
      <c r="E76" s="16"/>
    </row>
    <row r="77" spans="2:5" ht="15" customHeight="1" x14ac:dyDescent="0.2">
      <c r="B77" t="s">
        <v>360</v>
      </c>
      <c r="C77" s="65">
        <v>32677719</v>
      </c>
      <c r="D77" s="12" t="s">
        <v>278</v>
      </c>
      <c r="E77" s="19" t="s">
        <v>361</v>
      </c>
    </row>
    <row r="78" spans="2:5" ht="15" customHeight="1" x14ac:dyDescent="0.2">
      <c r="B78" t="s">
        <v>362</v>
      </c>
      <c r="C78" s="65">
        <v>625823</v>
      </c>
      <c r="D78" s="12" t="s">
        <v>278</v>
      </c>
      <c r="E78" s="19" t="s">
        <v>363</v>
      </c>
    </row>
    <row r="79" spans="2:5" ht="15" customHeight="1" x14ac:dyDescent="0.2">
      <c r="B79" t="s">
        <v>364</v>
      </c>
      <c r="C79" s="65">
        <v>5268977</v>
      </c>
      <c r="D79" s="12" t="s">
        <v>278</v>
      </c>
      <c r="E79" s="19" t="s">
        <v>363</v>
      </c>
    </row>
    <row r="80" spans="2:5" ht="15" customHeight="1" x14ac:dyDescent="0.2">
      <c r="B80" t="s">
        <v>365</v>
      </c>
      <c r="C80" s="65">
        <v>1000000</v>
      </c>
      <c r="D80" s="12" t="s">
        <v>278</v>
      </c>
      <c r="E80" s="19" t="s">
        <v>363</v>
      </c>
    </row>
    <row r="81" spans="2:5" ht="15" customHeight="1" x14ac:dyDescent="0.2">
      <c r="B81" t="s">
        <v>366</v>
      </c>
      <c r="C81" s="65">
        <v>3716839</v>
      </c>
      <c r="D81" s="12" t="s">
        <v>278</v>
      </c>
      <c r="E81" s="19" t="s">
        <v>367</v>
      </c>
    </row>
    <row r="82" spans="2:5" ht="15" customHeight="1" x14ac:dyDescent="0.2">
      <c r="B82" t="s">
        <v>368</v>
      </c>
      <c r="C82" s="54">
        <v>0</v>
      </c>
      <c r="D82" s="12" t="s">
        <v>369</v>
      </c>
      <c r="E82" s="19" t="s">
        <v>370</v>
      </c>
    </row>
    <row r="83" spans="2:5" ht="15" customHeight="1" x14ac:dyDescent="0.2">
      <c r="B83" t="s">
        <v>371</v>
      </c>
      <c r="C83" s="66">
        <v>50000</v>
      </c>
      <c r="D83" s="12" t="s">
        <v>288</v>
      </c>
      <c r="E83" s="19" t="s">
        <v>372</v>
      </c>
    </row>
    <row r="85" spans="2:5" ht="15" customHeight="1" x14ac:dyDescent="0.2">
      <c r="B85" s="16" t="s">
        <v>373</v>
      </c>
      <c r="C85" s="16"/>
      <c r="D85" s="16"/>
      <c r="E85" s="16"/>
    </row>
    <row r="86" spans="2:5" ht="15" customHeight="1" x14ac:dyDescent="0.2">
      <c r="B86" t="s">
        <v>374</v>
      </c>
      <c r="C86" s="67">
        <v>4000000</v>
      </c>
      <c r="D86" s="12" t="s">
        <v>278</v>
      </c>
      <c r="E86" s="19" t="s">
        <v>375</v>
      </c>
    </row>
    <row r="87" spans="2:5" ht="15" customHeight="1" x14ac:dyDescent="0.2">
      <c r="B87" t="s">
        <v>376</v>
      </c>
      <c r="C87" s="67">
        <v>5000000</v>
      </c>
      <c r="D87" s="12" t="s">
        <v>278</v>
      </c>
      <c r="E87" s="19" t="s">
        <v>377</v>
      </c>
    </row>
    <row r="88" spans="2:5" ht="15" customHeight="1" x14ac:dyDescent="0.2">
      <c r="B88" t="s">
        <v>378</v>
      </c>
      <c r="C88" s="67">
        <v>4500000</v>
      </c>
      <c r="D88" s="12" t="s">
        <v>278</v>
      </c>
      <c r="E88" s="19" t="s">
        <v>379</v>
      </c>
    </row>
    <row r="89" spans="2:5" ht="15" customHeight="1" x14ac:dyDescent="0.2">
      <c r="B89" t="s">
        <v>380</v>
      </c>
      <c r="C89" s="67">
        <v>5000000</v>
      </c>
      <c r="D89" s="12" t="s">
        <v>278</v>
      </c>
      <c r="E89" s="19" t="s">
        <v>381</v>
      </c>
    </row>
    <row r="90" spans="2:5" ht="15" customHeight="1" x14ac:dyDescent="0.2">
      <c r="B90" t="s">
        <v>382</v>
      </c>
      <c r="C90" s="67">
        <v>7000000</v>
      </c>
      <c r="D90" s="12" t="s">
        <v>278</v>
      </c>
      <c r="E90" s="19" t="s">
        <v>377</v>
      </c>
    </row>
    <row r="91" spans="2:5" ht="15" customHeight="1" x14ac:dyDescent="0.2">
      <c r="B91" t="s">
        <v>383</v>
      </c>
      <c r="C91" s="67">
        <v>6000000</v>
      </c>
      <c r="D91" s="12" t="s">
        <v>278</v>
      </c>
      <c r="E91" s="19" t="s">
        <v>384</v>
      </c>
    </row>
    <row r="92" spans="2:5" ht="15" customHeight="1" x14ac:dyDescent="0.2">
      <c r="B92" t="s">
        <v>385</v>
      </c>
      <c r="C92" s="67">
        <v>10500000</v>
      </c>
      <c r="D92" s="12" t="s">
        <v>278</v>
      </c>
      <c r="E92" s="19" t="s">
        <v>386</v>
      </c>
    </row>
    <row r="93" spans="2:5" ht="15" customHeight="1" x14ac:dyDescent="0.2">
      <c r="B93" t="s">
        <v>387</v>
      </c>
      <c r="C93" s="58">
        <v>7815</v>
      </c>
      <c r="D93" s="12" t="s">
        <v>288</v>
      </c>
      <c r="E93" s="19" t="s">
        <v>388</v>
      </c>
    </row>
    <row r="94" spans="2:5" ht="15" customHeight="1" x14ac:dyDescent="0.2">
      <c r="B94" t="s">
        <v>389</v>
      </c>
      <c r="C94" s="58">
        <v>22288</v>
      </c>
      <c r="D94" s="12" t="s">
        <v>288</v>
      </c>
      <c r="E94" s="19" t="s">
        <v>390</v>
      </c>
    </row>
    <row r="95" spans="2:5" ht="15" customHeight="1" x14ac:dyDescent="0.2">
      <c r="B95" t="s">
        <v>391</v>
      </c>
      <c r="C95" s="62">
        <v>600000</v>
      </c>
      <c r="D95" s="12" t="s">
        <v>278</v>
      </c>
      <c r="E95" s="19" t="s">
        <v>392</v>
      </c>
    </row>
    <row r="97" spans="2:5" ht="15" customHeight="1" x14ac:dyDescent="0.2">
      <c r="B97" s="16" t="s">
        <v>393</v>
      </c>
      <c r="C97" s="16"/>
      <c r="D97" s="16"/>
      <c r="E97" s="16"/>
    </row>
    <row r="98" spans="2:5" ht="15" customHeight="1" x14ac:dyDescent="0.2">
      <c r="B98" t="s">
        <v>394</v>
      </c>
      <c r="C98" s="51">
        <v>7.4999999999999997E-2</v>
      </c>
      <c r="D98" s="12" t="s">
        <v>263</v>
      </c>
      <c r="E98" s="19" t="s">
        <v>395</v>
      </c>
    </row>
    <row r="99" spans="2:5" ht="15" customHeight="1" x14ac:dyDescent="0.2">
      <c r="B99" t="s">
        <v>396</v>
      </c>
      <c r="C99" s="51">
        <v>0.05</v>
      </c>
      <c r="D99" s="12" t="s">
        <v>263</v>
      </c>
      <c r="E99" s="19" t="s">
        <v>397</v>
      </c>
    </row>
    <row r="100" spans="2:5" ht="15" customHeight="1" x14ac:dyDescent="0.2">
      <c r="B100" t="s">
        <v>398</v>
      </c>
      <c r="C100" s="52">
        <v>0.03</v>
      </c>
      <c r="D100" s="12" t="s">
        <v>263</v>
      </c>
      <c r="E100" s="19" t="s">
        <v>399</v>
      </c>
    </row>
    <row r="101" spans="2:5" ht="15" customHeight="1" x14ac:dyDescent="0.2">
      <c r="B101" t="s">
        <v>400</v>
      </c>
      <c r="C101" s="51">
        <v>1.4999999999999999E-2</v>
      </c>
      <c r="D101" s="12" t="s">
        <v>263</v>
      </c>
      <c r="E101" s="19" t="s">
        <v>401</v>
      </c>
    </row>
    <row r="102" spans="2:5" ht="15" customHeight="1" x14ac:dyDescent="0.2">
      <c r="B102" t="s">
        <v>402</v>
      </c>
      <c r="C102" s="62">
        <v>200000</v>
      </c>
      <c r="D102" s="12" t="s">
        <v>278</v>
      </c>
      <c r="E102" s="19" t="s">
        <v>403</v>
      </c>
    </row>
    <row r="103" spans="2:5" ht="15" customHeight="1" x14ac:dyDescent="0.2">
      <c r="B103" t="s">
        <v>404</v>
      </c>
      <c r="C103" s="62">
        <v>0</v>
      </c>
      <c r="D103" s="12" t="s">
        <v>278</v>
      </c>
      <c r="E103" s="19" t="s">
        <v>405</v>
      </c>
    </row>
    <row r="105" spans="2:5" ht="15" customHeight="1" x14ac:dyDescent="0.2">
      <c r="B105" s="16" t="s">
        <v>406</v>
      </c>
      <c r="C105" s="16"/>
      <c r="D105" s="16"/>
      <c r="E105" s="16"/>
    </row>
    <row r="106" spans="2:5" ht="15" customHeight="1" x14ac:dyDescent="0.2">
      <c r="B106" t="s">
        <v>407</v>
      </c>
      <c r="C106" s="68">
        <v>7</v>
      </c>
      <c r="D106" s="12" t="s">
        <v>408</v>
      </c>
      <c r="E106" s="19" t="s">
        <v>409</v>
      </c>
    </row>
    <row r="107" spans="2:5" ht="15" customHeight="1" x14ac:dyDescent="0.2">
      <c r="B107" t="s">
        <v>410</v>
      </c>
      <c r="C107" s="68">
        <v>4</v>
      </c>
      <c r="D107" s="12" t="s">
        <v>408</v>
      </c>
      <c r="E107" s="19" t="s">
        <v>411</v>
      </c>
    </row>
    <row r="108" spans="2:5" ht="15" customHeight="1" x14ac:dyDescent="0.2">
      <c r="B108" t="s">
        <v>412</v>
      </c>
      <c r="C108" s="62">
        <v>100000</v>
      </c>
      <c r="D108" s="12" t="s">
        <v>413</v>
      </c>
      <c r="E108" s="19" t="s">
        <v>414</v>
      </c>
    </row>
    <row r="109" spans="2:5" ht="15" customHeight="1" x14ac:dyDescent="0.2">
      <c r="B109" t="s">
        <v>415</v>
      </c>
      <c r="C109" s="62">
        <v>50000</v>
      </c>
      <c r="D109" s="12" t="s">
        <v>416</v>
      </c>
      <c r="E109" s="19" t="s">
        <v>417</v>
      </c>
    </row>
    <row r="110" spans="2:5" ht="15" customHeight="1" x14ac:dyDescent="0.2">
      <c r="B110" s="59" t="s">
        <v>418</v>
      </c>
      <c r="C110" s="69">
        <f>Parameters!$C$106*Parameters!$C$108+Parameters!$C$109</f>
        <v>750000</v>
      </c>
    </row>
    <row r="111" spans="2:5" ht="15" customHeight="1" x14ac:dyDescent="0.2">
      <c r="B111" s="59" t="s">
        <v>419</v>
      </c>
      <c r="C111" s="69">
        <f>Parameters!$C$107*Parameters!$C$108+Parameters!$C$109</f>
        <v>450000</v>
      </c>
    </row>
    <row r="113" spans="2:5" ht="15" customHeight="1" x14ac:dyDescent="0.2">
      <c r="B113" s="16" t="s">
        <v>420</v>
      </c>
      <c r="C113" s="16"/>
      <c r="D113" s="16"/>
      <c r="E113" s="16"/>
    </row>
    <row r="114" spans="2:5" ht="15" customHeight="1" x14ac:dyDescent="0.2">
      <c r="B114" s="59" t="s">
        <v>421</v>
      </c>
      <c r="C114" s="60">
        <f>Parameters!$C$41</f>
        <v>22525</v>
      </c>
    </row>
    <row r="115" spans="2:5" ht="15" customHeight="1" x14ac:dyDescent="0.2">
      <c r="B115" t="s">
        <v>422</v>
      </c>
      <c r="C115" s="54">
        <v>4500</v>
      </c>
      <c r="D115" s="12" t="s">
        <v>288</v>
      </c>
      <c r="E115" s="19" t="s">
        <v>423</v>
      </c>
    </row>
    <row r="116" spans="2:5" ht="15" customHeight="1" x14ac:dyDescent="0.2">
      <c r="B116" t="s">
        <v>424</v>
      </c>
      <c r="C116" s="51">
        <v>0.15</v>
      </c>
      <c r="D116" s="12" t="s">
        <v>263</v>
      </c>
      <c r="E116" s="19" t="s">
        <v>425</v>
      </c>
    </row>
    <row r="117" spans="2:5" ht="15" customHeight="1" x14ac:dyDescent="0.2">
      <c r="B117" s="59" t="s">
        <v>426</v>
      </c>
      <c r="C117" s="60">
        <f>ROUND((Parameters!$C$114+Parameters!$C$115)*(1+Parameters!$C$116),0)</f>
        <v>31079</v>
      </c>
    </row>
    <row r="118" spans="2:5" ht="15" customHeight="1" x14ac:dyDescent="0.2">
      <c r="B118" t="s">
        <v>427</v>
      </c>
      <c r="C118" s="62">
        <v>720</v>
      </c>
      <c r="D118" s="12" t="s">
        <v>428</v>
      </c>
      <c r="E118" s="19" t="s">
        <v>429</v>
      </c>
    </row>
    <row r="119" spans="2:5" ht="15" customHeight="1" x14ac:dyDescent="0.2">
      <c r="B119" t="s">
        <v>430</v>
      </c>
      <c r="C119" s="62">
        <v>3700000</v>
      </c>
      <c r="D119" s="12" t="s">
        <v>278</v>
      </c>
      <c r="E119" s="19" t="s">
        <v>431</v>
      </c>
    </row>
    <row r="121" spans="2:5" ht="15" customHeight="1" x14ac:dyDescent="0.2">
      <c r="B121" s="16" t="s">
        <v>432</v>
      </c>
      <c r="C121" s="16"/>
      <c r="D121" s="16"/>
      <c r="E121" s="16"/>
    </row>
    <row r="122" spans="2:5" ht="15" customHeight="1" x14ac:dyDescent="0.2">
      <c r="B122" t="s">
        <v>433</v>
      </c>
      <c r="C122" s="62">
        <v>1000000</v>
      </c>
      <c r="D122" s="12" t="s">
        <v>278</v>
      </c>
      <c r="E122" s="19" t="s">
        <v>434</v>
      </c>
    </row>
    <row r="123" spans="2:5" ht="15" customHeight="1" x14ac:dyDescent="0.2">
      <c r="B123" t="s">
        <v>435</v>
      </c>
      <c r="C123" s="70">
        <v>25000</v>
      </c>
      <c r="D123" s="12" t="s">
        <v>288</v>
      </c>
      <c r="E123" s="19" t="s">
        <v>436</v>
      </c>
    </row>
    <row r="124" spans="2:5" ht="15" customHeight="1" x14ac:dyDescent="0.2">
      <c r="B124" t="s">
        <v>437</v>
      </c>
      <c r="C124" s="62">
        <v>200</v>
      </c>
      <c r="D124" s="12" t="s">
        <v>428</v>
      </c>
      <c r="E124" s="19" t="s">
        <v>438</v>
      </c>
    </row>
    <row r="125" spans="2:5" ht="15" customHeight="1" x14ac:dyDescent="0.2">
      <c r="B125" t="s">
        <v>439</v>
      </c>
      <c r="C125" s="62">
        <v>500000</v>
      </c>
      <c r="D125" s="12" t="s">
        <v>278</v>
      </c>
      <c r="E125" s="19" t="s">
        <v>440</v>
      </c>
    </row>
    <row r="126" spans="2:5" ht="15" customHeight="1" x14ac:dyDescent="0.2">
      <c r="B126" t="s">
        <v>441</v>
      </c>
      <c r="C126" s="62">
        <v>400000</v>
      </c>
      <c r="D126" s="12" t="s">
        <v>278</v>
      </c>
      <c r="E126" s="19" t="s">
        <v>442</v>
      </c>
    </row>
    <row r="127" spans="2:5" ht="15" customHeight="1" x14ac:dyDescent="0.2">
      <c r="B127" s="59" t="s">
        <v>443</v>
      </c>
      <c r="C127" s="69">
        <f>Parameters!$C$122+Parameters!$C$123*Parameters!$C$124+Parameters!$C$125+Parameters!$C$126</f>
        <v>6900000</v>
      </c>
    </row>
    <row r="129" spans="2:5" ht="15" customHeight="1" x14ac:dyDescent="0.2">
      <c r="B129" s="16" t="s">
        <v>444</v>
      </c>
      <c r="C129" s="16"/>
      <c r="D129" s="16"/>
      <c r="E129" s="16"/>
    </row>
    <row r="130" spans="2:5" ht="15" customHeight="1" x14ac:dyDescent="0.2">
      <c r="B130" t="s">
        <v>445</v>
      </c>
      <c r="C130" s="55">
        <v>90000</v>
      </c>
      <c r="D130" s="12" t="s">
        <v>278</v>
      </c>
      <c r="E130" s="19" t="s">
        <v>446</v>
      </c>
    </row>
    <row r="131" spans="2:5" ht="15" customHeight="1" x14ac:dyDescent="0.2">
      <c r="B131" t="s">
        <v>447</v>
      </c>
      <c r="C131" s="55">
        <v>30000</v>
      </c>
      <c r="D131" s="12" t="s">
        <v>278</v>
      </c>
      <c r="E131" s="19" t="s">
        <v>448</v>
      </c>
    </row>
    <row r="132" spans="2:5" ht="15" customHeight="1" x14ac:dyDescent="0.2">
      <c r="B132" t="s">
        <v>449</v>
      </c>
      <c r="C132" s="55">
        <v>450000</v>
      </c>
      <c r="D132" s="12" t="s">
        <v>278</v>
      </c>
      <c r="E132" s="19" t="s">
        <v>450</v>
      </c>
    </row>
    <row r="133" spans="2:5" ht="15" customHeight="1" x14ac:dyDescent="0.2">
      <c r="B133" t="s">
        <v>451</v>
      </c>
      <c r="C133" s="55">
        <v>10000</v>
      </c>
      <c r="D133" s="12" t="s">
        <v>278</v>
      </c>
      <c r="E133" s="19" t="s">
        <v>452</v>
      </c>
    </row>
    <row r="134" spans="2:5" ht="15" customHeight="1" x14ac:dyDescent="0.2">
      <c r="B134" t="s">
        <v>453</v>
      </c>
      <c r="C134" s="55">
        <v>30000</v>
      </c>
      <c r="D134" s="12" t="s">
        <v>278</v>
      </c>
      <c r="E134" s="19" t="s">
        <v>454</v>
      </c>
    </row>
    <row r="135" spans="2:5" ht="15" customHeight="1" x14ac:dyDescent="0.2">
      <c r="B135" t="s">
        <v>455</v>
      </c>
      <c r="C135" s="55">
        <v>60000</v>
      </c>
      <c r="D135" s="12" t="s">
        <v>278</v>
      </c>
      <c r="E135" s="19" t="s">
        <v>456</v>
      </c>
    </row>
    <row r="136" spans="2:5" ht="15" customHeight="1" x14ac:dyDescent="0.2">
      <c r="B136" t="s">
        <v>457</v>
      </c>
      <c r="C136" s="62">
        <v>50000</v>
      </c>
      <c r="D136" s="12" t="s">
        <v>278</v>
      </c>
      <c r="E136" s="19" t="s">
        <v>458</v>
      </c>
    </row>
    <row r="137" spans="2:5" ht="15" customHeight="1" x14ac:dyDescent="0.2">
      <c r="B137" t="s">
        <v>459</v>
      </c>
      <c r="C137" s="51">
        <v>0.2</v>
      </c>
      <c r="D137" s="12" t="s">
        <v>263</v>
      </c>
      <c r="E137" s="19" t="s">
        <v>460</v>
      </c>
    </row>
    <row r="139" spans="2:5" ht="15" customHeight="1" x14ac:dyDescent="0.2">
      <c r="B139" s="16" t="s">
        <v>461</v>
      </c>
      <c r="C139" s="16"/>
      <c r="D139" s="16"/>
      <c r="E139" s="16"/>
    </row>
    <row r="140" spans="2:5" ht="15" customHeight="1" x14ac:dyDescent="0.2">
      <c r="B140" t="s">
        <v>462</v>
      </c>
      <c r="C140" s="55">
        <v>50000</v>
      </c>
      <c r="D140" s="12" t="s">
        <v>282</v>
      </c>
      <c r="E140" s="19" t="s">
        <v>463</v>
      </c>
    </row>
    <row r="141" spans="2:5" ht="15" customHeight="1" x14ac:dyDescent="0.2">
      <c r="B141" t="s">
        <v>464</v>
      </c>
      <c r="C141" s="55">
        <v>30000</v>
      </c>
      <c r="D141" s="12" t="s">
        <v>282</v>
      </c>
      <c r="E141" s="19" t="s">
        <v>465</v>
      </c>
    </row>
    <row r="142" spans="2:5" ht="15" customHeight="1" x14ac:dyDescent="0.2">
      <c r="B142" t="s">
        <v>466</v>
      </c>
      <c r="C142" s="55">
        <v>15000</v>
      </c>
      <c r="D142" s="12" t="s">
        <v>282</v>
      </c>
      <c r="E142" s="19" t="s">
        <v>467</v>
      </c>
    </row>
    <row r="143" spans="2:5" ht="15" customHeight="1" x14ac:dyDescent="0.2">
      <c r="B143" t="s">
        <v>468</v>
      </c>
      <c r="C143" s="55">
        <v>50000</v>
      </c>
      <c r="D143" s="12" t="s">
        <v>282</v>
      </c>
      <c r="E143" s="19" t="s">
        <v>456</v>
      </c>
    </row>
    <row r="144" spans="2:5" ht="15" customHeight="1" x14ac:dyDescent="0.2">
      <c r="B144" t="s">
        <v>469</v>
      </c>
      <c r="C144" s="62">
        <v>25000</v>
      </c>
      <c r="D144" s="12" t="s">
        <v>282</v>
      </c>
      <c r="E144" s="19" t="s">
        <v>470</v>
      </c>
    </row>
    <row r="146" spans="2:5" ht="15" customHeight="1" x14ac:dyDescent="0.2">
      <c r="B146" s="16" t="s">
        <v>471</v>
      </c>
      <c r="C146" s="16"/>
      <c r="D146" s="16"/>
      <c r="E146" s="16"/>
    </row>
    <row r="147" spans="2:5" ht="15" customHeight="1" x14ac:dyDescent="0.2">
      <c r="B147" t="s">
        <v>472</v>
      </c>
      <c r="C147" s="62">
        <v>35000</v>
      </c>
      <c r="D147" s="12" t="s">
        <v>282</v>
      </c>
      <c r="E147" s="19" t="s">
        <v>473</v>
      </c>
    </row>
    <row r="148" spans="2:5" ht="15" customHeight="1" x14ac:dyDescent="0.2">
      <c r="B148" t="s">
        <v>474</v>
      </c>
      <c r="C148" s="62">
        <v>5000</v>
      </c>
      <c r="D148" s="12" t="s">
        <v>282</v>
      </c>
      <c r="E148" s="19" t="s">
        <v>475</v>
      </c>
    </row>
    <row r="149" spans="2:5" ht="15" customHeight="1" x14ac:dyDescent="0.2">
      <c r="B149" t="s">
        <v>220</v>
      </c>
      <c r="C149" s="62">
        <v>500000</v>
      </c>
      <c r="D149" s="12" t="s">
        <v>278</v>
      </c>
      <c r="E149" s="19" t="s">
        <v>476</v>
      </c>
    </row>
    <row r="150" spans="2:5" ht="15" customHeight="1" x14ac:dyDescent="0.2">
      <c r="B150" t="s">
        <v>477</v>
      </c>
      <c r="C150" s="50">
        <v>2</v>
      </c>
      <c r="D150" s="12" t="s">
        <v>257</v>
      </c>
      <c r="E150" s="19" t="s">
        <v>478</v>
      </c>
    </row>
    <row r="151" spans="2:5" ht="15" customHeight="1" x14ac:dyDescent="0.2">
      <c r="B151" t="s">
        <v>479</v>
      </c>
      <c r="C151" s="50">
        <v>2</v>
      </c>
      <c r="D151" s="12" t="s">
        <v>257</v>
      </c>
      <c r="E151" s="71" t="s">
        <v>480</v>
      </c>
    </row>
    <row r="152" spans="2:5" ht="15" customHeight="1" x14ac:dyDescent="0.2">
      <c r="B152" t="s">
        <v>481</v>
      </c>
      <c r="C152" s="50">
        <v>1</v>
      </c>
      <c r="D152" s="12" t="s">
        <v>257</v>
      </c>
      <c r="E152" s="19" t="s">
        <v>482</v>
      </c>
    </row>
    <row r="153" spans="2:5" ht="15" customHeight="1" x14ac:dyDescent="0.2">
      <c r="B153" t="s">
        <v>483</v>
      </c>
      <c r="C153" s="50">
        <v>1</v>
      </c>
      <c r="D153" s="12" t="s">
        <v>257</v>
      </c>
      <c r="E153" s="19" t="s">
        <v>484</v>
      </c>
    </row>
    <row r="154" spans="2:5" ht="15" customHeight="1" x14ac:dyDescent="0.2">
      <c r="B154" t="s">
        <v>485</v>
      </c>
      <c r="C154" s="55">
        <v>11</v>
      </c>
      <c r="D154" s="12" t="s">
        <v>486</v>
      </c>
      <c r="E154" s="19" t="s">
        <v>487</v>
      </c>
    </row>
    <row r="155" spans="2:5" ht="15" customHeight="1" x14ac:dyDescent="0.2">
      <c r="B155" t="s">
        <v>488</v>
      </c>
      <c r="C155" s="51">
        <v>0.85</v>
      </c>
      <c r="D155" s="12" t="s">
        <v>263</v>
      </c>
      <c r="E155" s="19" t="s">
        <v>489</v>
      </c>
    </row>
    <row r="156" spans="2:5" ht="15" customHeight="1" x14ac:dyDescent="0.2">
      <c r="B156" t="s">
        <v>490</v>
      </c>
      <c r="C156" s="55">
        <v>9</v>
      </c>
      <c r="D156" s="12" t="s">
        <v>486</v>
      </c>
      <c r="E156" s="19" t="s">
        <v>491</v>
      </c>
    </row>
    <row r="158" spans="2:5" ht="15" customHeight="1" x14ac:dyDescent="0.2">
      <c r="B158" s="16" t="s">
        <v>492</v>
      </c>
      <c r="C158" s="16"/>
      <c r="D158" s="16"/>
      <c r="E158" s="16"/>
    </row>
    <row r="159" spans="2:5" ht="15" customHeight="1" x14ac:dyDescent="0.2">
      <c r="B159" t="s">
        <v>493</v>
      </c>
      <c r="C159" s="50">
        <v>1</v>
      </c>
      <c r="D159" s="12" t="s">
        <v>369</v>
      </c>
      <c r="E159" s="19" t="s">
        <v>494</v>
      </c>
    </row>
    <row r="160" spans="2:5" ht="15" customHeight="1" x14ac:dyDescent="0.2">
      <c r="B160" t="s">
        <v>495</v>
      </c>
      <c r="C160" s="50">
        <v>30</v>
      </c>
      <c r="D160" s="12" t="s">
        <v>260</v>
      </c>
      <c r="E160" s="19" t="s">
        <v>496</v>
      </c>
    </row>
    <row r="161" spans="2:5" ht="15" customHeight="1" x14ac:dyDescent="0.2">
      <c r="B161" t="s">
        <v>497</v>
      </c>
      <c r="C161" s="72">
        <f>'Scenario B - Full Rebuild'!C24</f>
        <v>47348603.336675003</v>
      </c>
      <c r="E161" s="19" t="s">
        <v>498</v>
      </c>
    </row>
    <row r="163" spans="2:5" ht="15" customHeight="1" x14ac:dyDescent="0.2">
      <c r="B163" s="16" t="s">
        <v>499</v>
      </c>
    </row>
    <row r="164" spans="2:5" ht="15" customHeight="1" x14ac:dyDescent="0.2">
      <c r="B164" t="s">
        <v>500</v>
      </c>
      <c r="C164" s="50">
        <v>1</v>
      </c>
    </row>
    <row r="165" spans="2:5" ht="15" customHeight="1" x14ac:dyDescent="0.2">
      <c r="B165" t="s">
        <v>501</v>
      </c>
      <c r="C165" s="50">
        <v>30</v>
      </c>
    </row>
    <row r="166" spans="2:5" ht="15" customHeight="1" x14ac:dyDescent="0.2">
      <c r="B166" t="s">
        <v>502</v>
      </c>
      <c r="C166" s="72">
        <f>Parameters!$C$92</f>
        <v>10500000</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H41"/>
  <sheetViews>
    <sheetView zoomScale="114" zoomScaleNormal="114" workbookViewId="0">
      <selection activeCell="H21" sqref="H21"/>
    </sheetView>
  </sheetViews>
  <sheetFormatPr baseColWidth="10" defaultColWidth="8.6640625" defaultRowHeight="15" x14ac:dyDescent="0.2"/>
  <cols>
    <col min="1" max="1" width="4" customWidth="1"/>
    <col min="2" max="2" width="48" customWidth="1"/>
    <col min="3" max="3" width="16" customWidth="1"/>
    <col min="4" max="33" width="11" customWidth="1"/>
  </cols>
  <sheetData>
    <row r="1" spans="2:12" ht="17.25" customHeight="1" x14ac:dyDescent="0.2">
      <c r="B1" s="11" t="s">
        <v>503</v>
      </c>
    </row>
    <row r="2" spans="2:12" ht="15" customHeight="1" x14ac:dyDescent="0.2">
      <c r="B2" s="12" t="s">
        <v>504</v>
      </c>
    </row>
    <row r="3" spans="2:12" ht="15" customHeight="1" x14ac:dyDescent="0.2">
      <c r="B3" s="19" t="s">
        <v>505</v>
      </c>
    </row>
    <row r="5" spans="2:12" ht="15" customHeight="1" x14ac:dyDescent="0.2">
      <c r="B5" s="13" t="s">
        <v>506</v>
      </c>
      <c r="C5" s="13" t="s">
        <v>507</v>
      </c>
      <c r="D5" s="13" t="s">
        <v>508</v>
      </c>
      <c r="E5" s="13" t="s">
        <v>509</v>
      </c>
      <c r="F5" s="13" t="s">
        <v>510</v>
      </c>
      <c r="G5" s="13" t="s">
        <v>511</v>
      </c>
      <c r="H5" s="13" t="s">
        <v>512</v>
      </c>
      <c r="I5" s="73" t="s">
        <v>513</v>
      </c>
      <c r="J5" s="13" t="s">
        <v>514</v>
      </c>
      <c r="K5" s="13" t="s">
        <v>515</v>
      </c>
      <c r="L5" s="74" t="s">
        <v>516</v>
      </c>
    </row>
    <row r="6" spans="2:12" ht="15" customHeight="1" x14ac:dyDescent="0.2">
      <c r="B6" s="16" t="s">
        <v>517</v>
      </c>
      <c r="C6" s="16"/>
      <c r="D6" s="16"/>
      <c r="E6" s="16"/>
      <c r="F6" s="16"/>
      <c r="G6" s="16"/>
      <c r="H6" s="16"/>
      <c r="I6" s="16"/>
      <c r="J6" s="16"/>
      <c r="K6" s="16"/>
    </row>
    <row r="7" spans="2:12" ht="25.5" customHeight="1" x14ac:dyDescent="0.2">
      <c r="B7" t="s">
        <v>232</v>
      </c>
      <c r="C7" s="55">
        <f>Assumptions!$C$61</f>
        <v>170000</v>
      </c>
      <c r="D7" s="75">
        <v>1</v>
      </c>
      <c r="E7" s="75" t="s">
        <v>518</v>
      </c>
      <c r="F7" s="75" t="s">
        <v>518</v>
      </c>
      <c r="G7" s="75" t="s">
        <v>518</v>
      </c>
      <c r="H7" s="75" t="s">
        <v>519</v>
      </c>
      <c r="I7" s="75">
        <v>0</v>
      </c>
      <c r="J7" s="75" t="s">
        <v>520</v>
      </c>
      <c r="K7" s="19" t="s">
        <v>521</v>
      </c>
      <c r="L7" s="76" t="s">
        <v>522</v>
      </c>
    </row>
    <row r="8" spans="2:12" ht="25.5" customHeight="1" x14ac:dyDescent="0.2">
      <c r="B8" t="s">
        <v>234</v>
      </c>
      <c r="C8" s="55">
        <f>Assumptions!$C$62</f>
        <v>65000</v>
      </c>
      <c r="D8" s="75">
        <v>1</v>
      </c>
      <c r="E8" s="75" t="s">
        <v>518</v>
      </c>
      <c r="F8" s="75" t="s">
        <v>518</v>
      </c>
      <c r="G8" s="75" t="s">
        <v>518</v>
      </c>
      <c r="H8" s="75" t="s">
        <v>518</v>
      </c>
      <c r="I8" s="75">
        <v>0</v>
      </c>
      <c r="J8" s="75" t="s">
        <v>520</v>
      </c>
      <c r="K8" s="19" t="s">
        <v>523</v>
      </c>
      <c r="L8" s="76" t="s">
        <v>524</v>
      </c>
    </row>
    <row r="9" spans="2:12" ht="25.5" customHeight="1" x14ac:dyDescent="0.2">
      <c r="B9" t="s">
        <v>236</v>
      </c>
      <c r="C9" s="55">
        <f>Assumptions!$C$63</f>
        <v>20000</v>
      </c>
      <c r="D9" s="75">
        <v>1</v>
      </c>
      <c r="E9" s="75" t="s">
        <v>518</v>
      </c>
      <c r="F9" s="75" t="s">
        <v>519</v>
      </c>
      <c r="G9" s="75" t="s">
        <v>519</v>
      </c>
      <c r="H9" s="75" t="s">
        <v>519</v>
      </c>
      <c r="I9" s="75">
        <v>0</v>
      </c>
      <c r="J9" s="75" t="s">
        <v>520</v>
      </c>
      <c r="K9" s="19" t="s">
        <v>525</v>
      </c>
      <c r="L9" s="76" t="s">
        <v>526</v>
      </c>
    </row>
    <row r="10" spans="2:12" ht="25.5" customHeight="1" x14ac:dyDescent="0.2">
      <c r="B10" t="s">
        <v>238</v>
      </c>
      <c r="C10" s="55">
        <f>Assumptions!$C$64</f>
        <v>20000</v>
      </c>
      <c r="D10" s="75">
        <v>1</v>
      </c>
      <c r="E10" s="75" t="s">
        <v>518</v>
      </c>
      <c r="F10" s="75" t="s">
        <v>518</v>
      </c>
      <c r="G10" s="75" t="s">
        <v>518</v>
      </c>
      <c r="H10" s="75" t="s">
        <v>518</v>
      </c>
      <c r="I10" s="75">
        <v>0</v>
      </c>
      <c r="J10" s="75" t="s">
        <v>527</v>
      </c>
      <c r="K10" s="19" t="s">
        <v>528</v>
      </c>
      <c r="L10" s="76" t="s">
        <v>529</v>
      </c>
    </row>
    <row r="11" spans="2:12" ht="15" customHeight="1" x14ac:dyDescent="0.2">
      <c r="B11" s="16" t="s">
        <v>530</v>
      </c>
      <c r="C11" s="16"/>
      <c r="D11" s="16"/>
      <c r="E11" s="16"/>
      <c r="F11" s="16"/>
      <c r="G11" s="16"/>
      <c r="H11" s="16"/>
      <c r="I11" s="16"/>
      <c r="J11" s="16"/>
      <c r="K11" s="16"/>
    </row>
    <row r="12" spans="2:12" ht="39" customHeight="1" x14ac:dyDescent="0.2">
      <c r="B12" t="s">
        <v>240</v>
      </c>
      <c r="C12" s="55">
        <f>Assumptions!$C$65</f>
        <v>40000</v>
      </c>
      <c r="D12" s="75">
        <v>2</v>
      </c>
      <c r="E12" s="75" t="s">
        <v>518</v>
      </c>
      <c r="F12" s="75" t="s">
        <v>518</v>
      </c>
      <c r="G12" s="75" t="s">
        <v>518</v>
      </c>
      <c r="H12" s="75" t="s">
        <v>519</v>
      </c>
      <c r="I12" s="75">
        <v>0</v>
      </c>
      <c r="J12" s="75" t="s">
        <v>527</v>
      </c>
      <c r="K12" s="19" t="s">
        <v>531</v>
      </c>
      <c r="L12" s="76" t="s">
        <v>532</v>
      </c>
    </row>
    <row r="13" spans="2:12" ht="39" customHeight="1" x14ac:dyDescent="0.2">
      <c r="B13" t="s">
        <v>242</v>
      </c>
      <c r="C13" s="55">
        <f>Assumptions!$C$66</f>
        <v>30000</v>
      </c>
      <c r="D13" s="75">
        <v>2</v>
      </c>
      <c r="E13" s="75" t="s">
        <v>518</v>
      </c>
      <c r="F13" s="75" t="s">
        <v>518</v>
      </c>
      <c r="G13" s="75" t="s">
        <v>518</v>
      </c>
      <c r="H13" s="75" t="s">
        <v>518</v>
      </c>
      <c r="I13" s="75">
        <v>0</v>
      </c>
      <c r="J13" s="75" t="s">
        <v>527</v>
      </c>
      <c r="K13" s="19" t="s">
        <v>533</v>
      </c>
      <c r="L13" s="76" t="s">
        <v>534</v>
      </c>
    </row>
    <row r="14" spans="2:12" ht="25.5" customHeight="1" x14ac:dyDescent="0.2">
      <c r="B14" t="s">
        <v>244</v>
      </c>
      <c r="C14" s="55">
        <f>Assumptions!$C$67</f>
        <v>10000</v>
      </c>
      <c r="D14" s="75">
        <v>2</v>
      </c>
      <c r="E14" s="75" t="s">
        <v>518</v>
      </c>
      <c r="F14" s="75" t="s">
        <v>518</v>
      </c>
      <c r="G14" s="75" t="s">
        <v>518</v>
      </c>
      <c r="H14" s="75" t="s">
        <v>519</v>
      </c>
      <c r="I14" s="75">
        <v>0</v>
      </c>
      <c r="J14" s="75" t="s">
        <v>520</v>
      </c>
      <c r="K14" s="19" t="s">
        <v>535</v>
      </c>
      <c r="L14" s="76" t="s">
        <v>536</v>
      </c>
    </row>
    <row r="15" spans="2:12" ht="25.5" customHeight="1" x14ac:dyDescent="0.2">
      <c r="B15" t="s">
        <v>246</v>
      </c>
      <c r="C15" s="55">
        <f>Assumptions!$C$68</f>
        <v>25000</v>
      </c>
      <c r="D15" s="75">
        <v>2</v>
      </c>
      <c r="E15" s="75" t="s">
        <v>518</v>
      </c>
      <c r="F15" s="75" t="s">
        <v>519</v>
      </c>
      <c r="G15" s="75" t="s">
        <v>519</v>
      </c>
      <c r="H15" s="75" t="s">
        <v>519</v>
      </c>
      <c r="I15" s="75">
        <v>0</v>
      </c>
      <c r="J15" s="75" t="s">
        <v>527</v>
      </c>
      <c r="K15" s="19" t="s">
        <v>537</v>
      </c>
      <c r="L15" s="76" t="s">
        <v>538</v>
      </c>
    </row>
    <row r="17" spans="2:34" ht="15" customHeight="1" x14ac:dyDescent="0.2">
      <c r="B17" s="63" t="s">
        <v>539</v>
      </c>
      <c r="C17" s="77"/>
      <c r="D17" s="77"/>
      <c r="E17" s="64">
        <f>SUMIFS(C7:C15, E7:E15, "Y")</f>
        <v>380000</v>
      </c>
      <c r="F17" s="64">
        <f>SUMIFS(C7:C15, F7:F15, "Y")</f>
        <v>335000</v>
      </c>
      <c r="G17" s="64">
        <f>SUMIFS(C7:C15, G7:G15, "Y")</f>
        <v>335000</v>
      </c>
      <c r="H17" s="64">
        <f>SUMIFS(C7:C15, H7:H15, "Y")</f>
        <v>115000</v>
      </c>
      <c r="I17" s="78"/>
      <c r="J17" s="78"/>
      <c r="K17" s="78"/>
    </row>
    <row r="18" spans="2:34" ht="15" customHeight="1" x14ac:dyDescent="0.2">
      <c r="B18" s="77"/>
      <c r="D18" s="77"/>
      <c r="E18" s="77"/>
      <c r="F18" s="77"/>
      <c r="G18" s="77"/>
      <c r="I18" s="78"/>
      <c r="J18" s="78"/>
      <c r="K18" s="78"/>
    </row>
    <row r="19" spans="2:34" ht="15" customHeight="1" x14ac:dyDescent="0.2">
      <c r="B19" s="77"/>
      <c r="C19" s="77"/>
      <c r="D19" s="77"/>
      <c r="E19" s="77"/>
      <c r="F19" s="77"/>
      <c r="G19" s="77"/>
      <c r="I19" s="78"/>
      <c r="J19" s="78"/>
      <c r="K19" s="78"/>
    </row>
    <row r="20" spans="2:34" ht="15" customHeight="1" x14ac:dyDescent="0.2">
      <c r="B20" s="77"/>
      <c r="C20" s="77"/>
      <c r="D20" s="77"/>
      <c r="E20" s="77"/>
      <c r="F20" s="77"/>
      <c r="G20" s="77"/>
      <c r="I20" s="77"/>
      <c r="J20" s="77"/>
      <c r="K20" s="77"/>
    </row>
    <row r="21" spans="2:34" ht="15" customHeight="1" x14ac:dyDescent="0.2">
      <c r="B21" s="16" t="s">
        <v>540</v>
      </c>
      <c r="C21" s="16"/>
      <c r="D21" s="16"/>
      <c r="E21" s="16"/>
      <c r="F21" s="16"/>
      <c r="G21" s="16"/>
      <c r="H21" s="16"/>
      <c r="I21" s="16"/>
      <c r="J21" s="16"/>
      <c r="K21" s="16"/>
    </row>
    <row r="22" spans="2:34" ht="15" customHeight="1" x14ac:dyDescent="0.2">
      <c r="B22" t="s">
        <v>541</v>
      </c>
      <c r="C22" s="20">
        <v>2000000</v>
      </c>
    </row>
    <row r="23" spans="2:34" ht="15" customHeight="1" x14ac:dyDescent="0.2">
      <c r="B23" t="s">
        <v>542</v>
      </c>
      <c r="C23" s="20">
        <v>750000</v>
      </c>
      <c r="K23" s="19" t="s">
        <v>543</v>
      </c>
    </row>
    <row r="25" spans="2:34" ht="15" customHeight="1" x14ac:dyDescent="0.2">
      <c r="B25" s="16" t="s">
        <v>544</v>
      </c>
      <c r="C25" s="16"/>
      <c r="D25" s="16"/>
      <c r="E25" s="16"/>
      <c r="F25" s="16"/>
      <c r="G25" s="16"/>
      <c r="I25" s="16"/>
      <c r="J25" s="16"/>
      <c r="K25" s="16"/>
    </row>
    <row r="26" spans="2:34" ht="15" customHeight="1" x14ac:dyDescent="0.2">
      <c r="B26" s="48" t="s">
        <v>545</v>
      </c>
      <c r="D26" s="79">
        <f>Parameters!$C$8+0</f>
        <v>2027</v>
      </c>
      <c r="E26" s="79">
        <f>Parameters!$C$8+1</f>
        <v>2028</v>
      </c>
      <c r="F26" s="79">
        <f>Parameters!$C$8+2</f>
        <v>2029</v>
      </c>
      <c r="G26" s="79">
        <f>Parameters!$C$8+3</f>
        <v>2030</v>
      </c>
      <c r="H26" s="79">
        <f>Parameters!$C$8+4</f>
        <v>2031</v>
      </c>
      <c r="I26" s="79">
        <f>Parameters!$C$8+5</f>
        <v>2032</v>
      </c>
      <c r="J26" s="79">
        <f>Parameters!$C$8+6</f>
        <v>2033</v>
      </c>
      <c r="K26" s="79">
        <f>Parameters!$C$8+7</f>
        <v>2034</v>
      </c>
      <c r="L26" s="79">
        <f>Parameters!$C$8+8</f>
        <v>2035</v>
      </c>
      <c r="M26" s="79">
        <f>Parameters!$C$8+9</f>
        <v>2036</v>
      </c>
      <c r="N26" s="79">
        <f>Parameters!$C$8+10</f>
        <v>2037</v>
      </c>
      <c r="O26" s="79">
        <f>Parameters!$C$8+11</f>
        <v>2038</v>
      </c>
      <c r="P26" s="79">
        <f>Parameters!$C$8+12</f>
        <v>2039</v>
      </c>
      <c r="Q26" s="79">
        <f>Parameters!$C$8+13</f>
        <v>2040</v>
      </c>
      <c r="R26" s="79">
        <f>Parameters!$C$8+14</f>
        <v>2041</v>
      </c>
      <c r="S26" s="79">
        <f>Parameters!$C$8+15</f>
        <v>2042</v>
      </c>
      <c r="T26" s="79">
        <f>Parameters!$C$8+16</f>
        <v>2043</v>
      </c>
      <c r="U26" s="79">
        <f>Parameters!$C$8+17</f>
        <v>2044</v>
      </c>
      <c r="V26" s="79">
        <f>Parameters!$C$8+18</f>
        <v>2045</v>
      </c>
      <c r="W26" s="79">
        <f>Parameters!$C$8+19</f>
        <v>2046</v>
      </c>
      <c r="X26" s="79">
        <f>Parameters!$C$8+20</f>
        <v>2047</v>
      </c>
      <c r="Y26" s="79">
        <f>Parameters!$C$8+21</f>
        <v>2048</v>
      </c>
      <c r="Z26" s="79">
        <f>Parameters!$C$8+22</f>
        <v>2049</v>
      </c>
      <c r="AA26" s="79">
        <f>Parameters!$C$8+23</f>
        <v>2050</v>
      </c>
      <c r="AB26" s="79">
        <f>Parameters!$C$8+24</f>
        <v>2051</v>
      </c>
      <c r="AC26" s="79">
        <f>Parameters!$C$8+25</f>
        <v>2052</v>
      </c>
      <c r="AD26" s="79">
        <f>Parameters!$C$8+26</f>
        <v>2053</v>
      </c>
      <c r="AE26" s="79">
        <f>Parameters!$C$8+27</f>
        <v>2054</v>
      </c>
      <c r="AF26" s="79">
        <f>Parameters!$C$8+28</f>
        <v>2055</v>
      </c>
      <c r="AG26" s="79">
        <f>Parameters!$C$8+29</f>
        <v>2056</v>
      </c>
      <c r="AH26" s="79"/>
    </row>
    <row r="27" spans="2:34" ht="15" customHeight="1" x14ac:dyDescent="0.2">
      <c r="B27" t="s">
        <v>546</v>
      </c>
      <c r="D27" s="25">
        <f>IF(1&gt;Parameters!$C$150, $E$17*(1+Parameters!$C$12)^0, 0)</f>
        <v>0</v>
      </c>
      <c r="E27" s="25">
        <f>IF(2&gt;Parameters!$C$150, $E$17*(1+Parameters!$C$12)^1, 0)</f>
        <v>0</v>
      </c>
      <c r="F27" s="25">
        <f>IF(3&gt;Parameters!$C$150, $E$17*(1+Parameters!$C$12)^2, 0)</f>
        <v>380000</v>
      </c>
      <c r="G27" s="25">
        <f>IF(4&gt;Parameters!$C$150, $E$17*(1+Parameters!$C$12)^3, 0)</f>
        <v>380000</v>
      </c>
      <c r="H27" s="25">
        <f>IF(5&gt;Parameters!$C$150, $E$17*(1+Parameters!$C$12)^4, 0)</f>
        <v>380000</v>
      </c>
      <c r="I27" s="25">
        <f>IF(6&gt;Parameters!$C$150, $E$17*(1+Parameters!$C$12)^5, 0)</f>
        <v>380000</v>
      </c>
      <c r="J27" s="25">
        <f>IF(7&gt;Parameters!$C$150, $E$17*(1+Parameters!$C$12)^6, 0)</f>
        <v>380000</v>
      </c>
      <c r="K27" s="25">
        <f>IF(8&gt;Parameters!$C$150, $E$17*(1+Parameters!$C$12)^7, 0)</f>
        <v>380000</v>
      </c>
      <c r="L27" s="25">
        <f>IF(9&gt;Parameters!$C$150, $E$17*(1+Parameters!$C$12)^8, 0)</f>
        <v>380000</v>
      </c>
      <c r="M27" s="25">
        <f>IF(10&gt;Parameters!$C$150, $E$17*(1+Parameters!$C$12)^9, 0)</f>
        <v>380000</v>
      </c>
      <c r="N27" s="25">
        <f>IF(11&gt;Parameters!$C$150, $E$17*(1+Parameters!$C$12)^10, 0)</f>
        <v>380000</v>
      </c>
      <c r="O27" s="25">
        <f>IF(12&gt;Parameters!$C$150, $E$17*(1+Parameters!$C$12)^11, 0)</f>
        <v>380000</v>
      </c>
      <c r="P27" s="25">
        <f>IF(13&gt;Parameters!$C$150, $E$17*(1+Parameters!$C$12)^12, 0)</f>
        <v>380000</v>
      </c>
      <c r="Q27" s="25">
        <f>IF(14&gt;Parameters!$C$150, $E$17*(1+Parameters!$C$12)^13, 0)</f>
        <v>380000</v>
      </c>
      <c r="R27" s="25">
        <f>IF(15&gt;Parameters!$C$150, $E$17*(1+Parameters!$C$12)^14, 0)</f>
        <v>380000</v>
      </c>
      <c r="S27" s="25">
        <f>IF(16&gt;Parameters!$C$150, $E$17*(1+Parameters!$C$12)^15, 0)</f>
        <v>380000</v>
      </c>
      <c r="T27" s="25">
        <f>IF(17&gt;Parameters!$C$150, $E$17*(1+Parameters!$C$12)^16, 0)</f>
        <v>380000</v>
      </c>
      <c r="U27" s="25">
        <f>IF(18&gt;Parameters!$C$150, $E$17*(1+Parameters!$C$12)^17, 0)</f>
        <v>380000</v>
      </c>
      <c r="V27" s="25">
        <f>IF(19&gt;Parameters!$C$150, $E$17*(1+Parameters!$C$12)^18, 0)</f>
        <v>380000</v>
      </c>
      <c r="W27" s="25">
        <f>IF(20&gt;Parameters!$C$150, $E$17*(1+Parameters!$C$12)^19, 0)</f>
        <v>380000</v>
      </c>
      <c r="X27" s="25">
        <f>IF(21&gt;Parameters!$C$150, $E$17*(1+Parameters!$C$12)^20, 0)</f>
        <v>380000</v>
      </c>
      <c r="Y27" s="25">
        <f>IF(22&gt;Parameters!$C$150, $E$17*(1+Parameters!$C$12)^21, 0)</f>
        <v>380000</v>
      </c>
      <c r="Z27" s="25">
        <f>IF(23&gt;Parameters!$C$150, $E$17*(1+Parameters!$C$12)^22, 0)</f>
        <v>380000</v>
      </c>
      <c r="AA27" s="25">
        <f>IF(24&gt;Parameters!$C$150, $E$17*(1+Parameters!$C$12)^23, 0)</f>
        <v>380000</v>
      </c>
      <c r="AB27" s="25">
        <f>IF(25&gt;Parameters!$C$150, $E$17*(1+Parameters!$C$12)^24, 0)</f>
        <v>380000</v>
      </c>
      <c r="AC27" s="25">
        <f>IF(26&gt;Parameters!$C$150, $E$17*(1+Parameters!$C$12)^25, 0)</f>
        <v>380000</v>
      </c>
      <c r="AD27" s="25">
        <f>IF(27&gt;Parameters!$C$150, $E$17*(1+Parameters!$C$12)^26, 0)</f>
        <v>380000</v>
      </c>
      <c r="AE27" s="25">
        <f>IF(28&gt;Parameters!$C$150, $E$17*(1+Parameters!$C$12)^27, 0)</f>
        <v>380000</v>
      </c>
      <c r="AF27" s="25">
        <f>IF(29&gt;Parameters!$C$150, $E$17*(1+Parameters!$C$12)^28, 0)</f>
        <v>380000</v>
      </c>
      <c r="AG27" s="25">
        <f>IF(30&gt;Parameters!$C$150, $E$17*(1+Parameters!$C$12)^29, 0)</f>
        <v>380000</v>
      </c>
      <c r="AH27" s="25"/>
    </row>
    <row r="28" spans="2:34" ht="15" customHeight="1" x14ac:dyDescent="0.2">
      <c r="B28" t="s">
        <v>547</v>
      </c>
      <c r="D28" s="25">
        <f>IF(1&gt;Parameters!$C$150, $C$22/(Parameters!$C$7-Parameters!$C$150), 0)</f>
        <v>0</v>
      </c>
      <c r="E28" s="25">
        <f>IF(2&gt;Parameters!$C$150, $C$22/(Parameters!$C$7-Parameters!$C$150), 0)</f>
        <v>0</v>
      </c>
      <c r="F28" s="25">
        <f>IF(3&gt;Parameters!$C$150, $C$22/(Parameters!$C$7-Parameters!$C$150), 0)</f>
        <v>71428.571428571435</v>
      </c>
      <c r="G28" s="25">
        <f>IF(4&gt;Parameters!$C$150, $C$22/(Parameters!$C$7-Parameters!$C$150), 0)</f>
        <v>71428.571428571435</v>
      </c>
      <c r="H28" s="25">
        <f>IF(5&gt;Parameters!$C$150, $C$22/(Parameters!$C$7-Parameters!$C$150), 0)</f>
        <v>71428.571428571435</v>
      </c>
      <c r="I28" s="25">
        <f>IF(6&gt;Parameters!$C$150, $C$22/(Parameters!$C$7-Parameters!$C$150), 0)</f>
        <v>71428.571428571435</v>
      </c>
      <c r="J28" s="25">
        <f>IF(7&gt;Parameters!$C$150, $C$22/(Parameters!$C$7-Parameters!$C$150), 0)</f>
        <v>71428.571428571435</v>
      </c>
      <c r="K28" s="25">
        <f>IF(8&gt;Parameters!$C$150, $C$22/(Parameters!$C$7-Parameters!$C$150), 0)</f>
        <v>71428.571428571435</v>
      </c>
      <c r="L28" s="25">
        <f>IF(9&gt;Parameters!$C$150, $C$22/(Parameters!$C$7-Parameters!$C$150), 0)</f>
        <v>71428.571428571435</v>
      </c>
      <c r="M28" s="25">
        <f>IF(10&gt;Parameters!$C$150, $C$22/(Parameters!$C$7-Parameters!$C$150), 0)</f>
        <v>71428.571428571435</v>
      </c>
      <c r="N28" s="25">
        <f>IF(11&gt;Parameters!$C$150, $C$22/(Parameters!$C$7-Parameters!$C$150), 0)</f>
        <v>71428.571428571435</v>
      </c>
      <c r="O28" s="25">
        <f>IF(12&gt;Parameters!$C$150, $C$22/(Parameters!$C$7-Parameters!$C$150), 0)</f>
        <v>71428.571428571435</v>
      </c>
      <c r="P28" s="25">
        <f>IF(13&gt;Parameters!$C$150, $C$22/(Parameters!$C$7-Parameters!$C$150), 0)</f>
        <v>71428.571428571435</v>
      </c>
      <c r="Q28" s="25">
        <f>IF(14&gt;Parameters!$C$150, $C$22/(Parameters!$C$7-Parameters!$C$150), 0)</f>
        <v>71428.571428571435</v>
      </c>
      <c r="R28" s="25">
        <f>IF(15&gt;Parameters!$C$150, $C$22/(Parameters!$C$7-Parameters!$C$150), 0)</f>
        <v>71428.571428571435</v>
      </c>
      <c r="S28" s="25">
        <f>IF(16&gt;Parameters!$C$150, $C$22/(Parameters!$C$7-Parameters!$C$150), 0)</f>
        <v>71428.571428571435</v>
      </c>
      <c r="T28" s="25">
        <f>IF(17&gt;Parameters!$C$150, $C$22/(Parameters!$C$7-Parameters!$C$150), 0)</f>
        <v>71428.571428571435</v>
      </c>
      <c r="U28" s="25">
        <f>IF(18&gt;Parameters!$C$150, $C$22/(Parameters!$C$7-Parameters!$C$150), 0)</f>
        <v>71428.571428571435</v>
      </c>
      <c r="V28" s="25">
        <f>IF(19&gt;Parameters!$C$150, $C$22/(Parameters!$C$7-Parameters!$C$150), 0)</f>
        <v>71428.571428571435</v>
      </c>
      <c r="W28" s="25">
        <f>IF(20&gt;Parameters!$C$150, $C$22/(Parameters!$C$7-Parameters!$C$150), 0)</f>
        <v>71428.571428571435</v>
      </c>
      <c r="X28" s="25">
        <f>IF(21&gt;Parameters!$C$150, $C$22/(Parameters!$C$7-Parameters!$C$150), 0)</f>
        <v>71428.571428571435</v>
      </c>
      <c r="Y28" s="25">
        <f>IF(22&gt;Parameters!$C$150, $C$22/(Parameters!$C$7-Parameters!$C$150), 0)</f>
        <v>71428.571428571435</v>
      </c>
      <c r="Z28" s="25">
        <f>IF(23&gt;Parameters!$C$150, $C$22/(Parameters!$C$7-Parameters!$C$150), 0)</f>
        <v>71428.571428571435</v>
      </c>
      <c r="AA28" s="25">
        <f>IF(24&gt;Parameters!$C$150, $C$22/(Parameters!$C$7-Parameters!$C$150), 0)</f>
        <v>71428.571428571435</v>
      </c>
      <c r="AB28" s="25">
        <f>IF(25&gt;Parameters!$C$150, $C$22/(Parameters!$C$7-Parameters!$C$150), 0)</f>
        <v>71428.571428571435</v>
      </c>
      <c r="AC28" s="25">
        <f>IF(26&gt;Parameters!$C$150, $C$22/(Parameters!$C$7-Parameters!$C$150), 0)</f>
        <v>71428.571428571435</v>
      </c>
      <c r="AD28" s="25">
        <f>IF(27&gt;Parameters!$C$150, $C$22/(Parameters!$C$7-Parameters!$C$150), 0)</f>
        <v>71428.571428571435</v>
      </c>
      <c r="AE28" s="25">
        <f>IF(28&gt;Parameters!$C$150, $C$22/(Parameters!$C$7-Parameters!$C$150), 0)</f>
        <v>71428.571428571435</v>
      </c>
      <c r="AF28" s="25">
        <f>IF(29&gt;Parameters!$C$150, $C$22/(Parameters!$C$7-Parameters!$C$150), 0)</f>
        <v>71428.571428571435</v>
      </c>
      <c r="AG28" s="25">
        <f>IF(30&gt;Parameters!$C$150, $C$22/(Parameters!$C$7-Parameters!$C$150), 0)</f>
        <v>71428.571428571435</v>
      </c>
      <c r="AH28" s="25"/>
    </row>
    <row r="29" spans="2:34" ht="15" customHeight="1" x14ac:dyDescent="0.2">
      <c r="B29" t="s">
        <v>548</v>
      </c>
      <c r="D29" s="80">
        <f>D27+D28</f>
        <v>0</v>
      </c>
      <c r="E29" s="80">
        <f>E27+E28</f>
        <v>0</v>
      </c>
      <c r="F29" s="80">
        <f>F27+F28</f>
        <v>451428.57142857142</v>
      </c>
      <c r="G29" s="80">
        <f>G27+G28</f>
        <v>451428.57142857142</v>
      </c>
      <c r="H29" s="80">
        <f t="shared" ref="H29:AG29" si="0">I27+I28</f>
        <v>451428.57142857142</v>
      </c>
      <c r="I29" s="80">
        <f t="shared" si="0"/>
        <v>451428.57142857142</v>
      </c>
      <c r="J29" s="80">
        <f t="shared" si="0"/>
        <v>451428.57142857142</v>
      </c>
      <c r="K29" s="80">
        <f t="shared" si="0"/>
        <v>451428.57142857142</v>
      </c>
      <c r="L29" s="80">
        <f t="shared" si="0"/>
        <v>451428.57142857142</v>
      </c>
      <c r="M29" s="80">
        <f t="shared" si="0"/>
        <v>451428.57142857142</v>
      </c>
      <c r="N29" s="80">
        <f t="shared" si="0"/>
        <v>451428.57142857142</v>
      </c>
      <c r="O29" s="80">
        <f t="shared" si="0"/>
        <v>451428.57142857142</v>
      </c>
      <c r="P29" s="80">
        <f t="shared" si="0"/>
        <v>451428.57142857142</v>
      </c>
      <c r="Q29" s="80">
        <f t="shared" si="0"/>
        <v>451428.57142857142</v>
      </c>
      <c r="R29" s="80">
        <f t="shared" si="0"/>
        <v>451428.57142857142</v>
      </c>
      <c r="S29" s="80">
        <f t="shared" si="0"/>
        <v>451428.57142857142</v>
      </c>
      <c r="T29" s="80">
        <f t="shared" si="0"/>
        <v>451428.57142857142</v>
      </c>
      <c r="U29" s="80">
        <f t="shared" si="0"/>
        <v>451428.57142857142</v>
      </c>
      <c r="V29" s="80">
        <f t="shared" si="0"/>
        <v>451428.57142857142</v>
      </c>
      <c r="W29" s="80">
        <f t="shared" si="0"/>
        <v>451428.57142857142</v>
      </c>
      <c r="X29" s="80">
        <f t="shared" si="0"/>
        <v>451428.57142857142</v>
      </c>
      <c r="Y29" s="80">
        <f t="shared" si="0"/>
        <v>451428.57142857142</v>
      </c>
      <c r="Z29" s="80">
        <f t="shared" si="0"/>
        <v>451428.57142857142</v>
      </c>
      <c r="AA29" s="80">
        <f t="shared" si="0"/>
        <v>451428.57142857142</v>
      </c>
      <c r="AB29" s="80">
        <f t="shared" si="0"/>
        <v>451428.57142857142</v>
      </c>
      <c r="AC29" s="80">
        <f t="shared" si="0"/>
        <v>451428.57142857142</v>
      </c>
      <c r="AD29" s="80">
        <f t="shared" si="0"/>
        <v>451428.57142857142</v>
      </c>
      <c r="AE29" s="80">
        <f t="shared" si="0"/>
        <v>451428.57142857142</v>
      </c>
      <c r="AF29" s="80">
        <f t="shared" si="0"/>
        <v>451428.57142857142</v>
      </c>
      <c r="AG29" s="80">
        <f t="shared" si="0"/>
        <v>0</v>
      </c>
      <c r="AH29" s="80"/>
    </row>
    <row r="31" spans="2:34" ht="15" customHeight="1" x14ac:dyDescent="0.2">
      <c r="B31" t="s">
        <v>549</v>
      </c>
      <c r="D31" s="25">
        <f>IF(1&gt;(Parameters!$C$151+Parameters!$C$152), $F$17*(1+Parameters!$C$12)^0, 0)</f>
        <v>0</v>
      </c>
      <c r="E31" s="25">
        <f>IF(2&gt;(Parameters!$C$151+Parameters!$C$152), $F$17*(1+Parameters!$C$12)^1, 0)</f>
        <v>0</v>
      </c>
      <c r="F31" s="25">
        <f>IF(3&gt;(Parameters!$C$151+Parameters!$C$152), $F$17*(1+Parameters!$C$12)^2, 0)</f>
        <v>0</v>
      </c>
      <c r="G31" s="25">
        <f>IF(4&gt;(Parameters!$C$151+Parameters!$C$152), $F$17*(1+Parameters!$C$12)^3, 0)</f>
        <v>335000</v>
      </c>
      <c r="H31" s="25">
        <f>IF(5&gt;(Parameters!$C$151+Parameters!$C$152), $F$17*(1+Parameters!$C$12)^4, 0)</f>
        <v>335000</v>
      </c>
      <c r="I31" s="25">
        <f>IF(6&gt;(Parameters!$C$151+Parameters!$C$152), $F$17*(1+Parameters!$C$12)^5, 0)</f>
        <v>335000</v>
      </c>
      <c r="J31" s="25">
        <f>IF(7&gt;(Parameters!$C$151+Parameters!$C$152), $F$17*(1+Parameters!$C$12)^6, 0)</f>
        <v>335000</v>
      </c>
      <c r="K31" s="25">
        <f>IF(8&gt;(Parameters!$C$151+Parameters!$C$152), $F$17*(1+Parameters!$C$12)^7, 0)</f>
        <v>335000</v>
      </c>
      <c r="L31" s="25">
        <f>IF(9&gt;(Parameters!$C$151+Parameters!$C$152), $F$17*(1+Parameters!$C$12)^8, 0)</f>
        <v>335000</v>
      </c>
      <c r="M31" s="25">
        <f>IF(10&gt;(Parameters!$C$151+Parameters!$C$152), $F$17*(1+Parameters!$C$12)^9, 0)</f>
        <v>335000</v>
      </c>
      <c r="N31" s="25">
        <f>IF(11&gt;(Parameters!$C$151+Parameters!$C$152), $F$17*(1+Parameters!$C$12)^10, 0)</f>
        <v>335000</v>
      </c>
      <c r="O31" s="25">
        <f>IF(12&gt;(Parameters!$C$151+Parameters!$C$152), $F$17*(1+Parameters!$C$12)^11, 0)</f>
        <v>335000</v>
      </c>
      <c r="P31" s="25">
        <f>IF(13&gt;(Parameters!$C$151+Parameters!$C$152), $F$17*(1+Parameters!$C$12)^12, 0)</f>
        <v>335000</v>
      </c>
      <c r="Q31" s="25">
        <f>IF(14&gt;(Parameters!$C$151+Parameters!$C$152), $F$17*(1+Parameters!$C$12)^13, 0)</f>
        <v>335000</v>
      </c>
      <c r="R31" s="25">
        <f>IF(15&gt;(Parameters!$C$151+Parameters!$C$152), $F$17*(1+Parameters!$C$12)^14, 0)</f>
        <v>335000</v>
      </c>
      <c r="S31" s="25">
        <f>IF(16&gt;(Parameters!$C$151+Parameters!$C$152), $F$17*(1+Parameters!$C$12)^15, 0)</f>
        <v>335000</v>
      </c>
      <c r="T31" s="25">
        <f>IF(17&gt;(Parameters!$C$151+Parameters!$C$152), $F$17*(1+Parameters!$C$12)^16, 0)</f>
        <v>335000</v>
      </c>
      <c r="U31" s="25">
        <f>IF(18&gt;(Parameters!$C$151+Parameters!$C$152), $F$17*(1+Parameters!$C$12)^17, 0)</f>
        <v>335000</v>
      </c>
      <c r="V31" s="25">
        <f>IF(19&gt;(Parameters!$C$151+Parameters!$C$152), $F$17*(1+Parameters!$C$12)^18, 0)</f>
        <v>335000</v>
      </c>
      <c r="W31" s="25">
        <f>IF(20&gt;(Parameters!$C$151+Parameters!$C$152), $F$17*(1+Parameters!$C$12)^19, 0)</f>
        <v>335000</v>
      </c>
      <c r="X31" s="25">
        <f>IF(21&gt;(Parameters!$C$151+Parameters!$C$152), $F$17*(1+Parameters!$C$12)^20, 0)</f>
        <v>335000</v>
      </c>
      <c r="Y31" s="25">
        <f>IF(22&gt;(Parameters!$C$151+Parameters!$C$152), $F$17*(1+Parameters!$C$12)^21, 0)</f>
        <v>335000</v>
      </c>
      <c r="Z31" s="25">
        <f>IF(23&gt;(Parameters!$C$151+Parameters!$C$152), $F$17*(1+Parameters!$C$12)^22, 0)</f>
        <v>335000</v>
      </c>
      <c r="AA31" s="25">
        <f>IF(24&gt;(Parameters!$C$151+Parameters!$C$152), $F$17*(1+Parameters!$C$12)^23, 0)</f>
        <v>335000</v>
      </c>
      <c r="AB31" s="25">
        <f>IF(25&gt;(Parameters!$C$151+Parameters!$C$152), $F$17*(1+Parameters!$C$12)^24, 0)</f>
        <v>335000</v>
      </c>
      <c r="AC31" s="25">
        <f>IF(26&gt;(Parameters!$C$151+Parameters!$C$152), $F$17*(1+Parameters!$C$12)^25, 0)</f>
        <v>335000</v>
      </c>
      <c r="AD31" s="25">
        <f>IF(27&gt;(Parameters!$C$151+Parameters!$C$152), $F$17*(1+Parameters!$C$12)^26, 0)</f>
        <v>335000</v>
      </c>
      <c r="AE31" s="25">
        <f>IF(28&gt;(Parameters!$C$151+Parameters!$C$152), $F$17*(1+Parameters!$C$12)^27, 0)</f>
        <v>335000</v>
      </c>
      <c r="AF31" s="25">
        <f>IF(29&gt;(Parameters!$C$151+Parameters!$C$152), $F$17*(1+Parameters!$C$12)^28, 0)</f>
        <v>335000</v>
      </c>
      <c r="AG31" s="25">
        <f>IF(30&gt;(Parameters!$C$151+Parameters!$C$152), $F$17*(1+Parameters!$C$12)^29, 0)</f>
        <v>335000</v>
      </c>
      <c r="AH31" s="25"/>
    </row>
    <row r="32" spans="2:34" ht="15" customHeight="1" x14ac:dyDescent="0.2">
      <c r="B32" t="s">
        <v>550</v>
      </c>
      <c r="D32" s="25">
        <f>IF(1&gt;(Parameters!$C$151+Parameters!$C$152), $C$23/(Parameters!$C$7-Parameters!$C$151-Parameters!$C$152), 0)</f>
        <v>0</v>
      </c>
      <c r="E32" s="25">
        <f>IF(2&gt;(Parameters!$C$151+Parameters!$C$152), $C$23/(Parameters!$C$7-Parameters!$C$151-Parameters!$C$152), 0)</f>
        <v>0</v>
      </c>
      <c r="F32" s="25">
        <f>IF(3&gt;(Parameters!$C$151+Parameters!$C$152), $C$23/(Parameters!$C$7-Parameters!$C$151-Parameters!$C$152), 0)</f>
        <v>0</v>
      </c>
      <c r="G32" s="25">
        <f>IF(4&gt;(Parameters!$C$151+Parameters!$C$152), $C$23/(Parameters!$C$7-Parameters!$C$151-Parameters!$C$152), 0)</f>
        <v>27777.777777777777</v>
      </c>
      <c r="H32" s="25">
        <f>IF(5&gt;(Parameters!$C$151+Parameters!$C$152), $C$23/(Parameters!$C$7-Parameters!$C$151-Parameters!$C$152), 0)</f>
        <v>27777.777777777777</v>
      </c>
      <c r="I32" s="25">
        <f>IF(6&gt;(Parameters!$C$151+Parameters!$C$152), $C$23/(Parameters!$C$7-Parameters!$C$151-Parameters!$C$152), 0)</f>
        <v>27777.777777777777</v>
      </c>
      <c r="J32" s="25">
        <f>IF(7&gt;(Parameters!$C$151+Parameters!$C$152), $C$23/(Parameters!$C$7-Parameters!$C$151-Parameters!$C$152), 0)</f>
        <v>27777.777777777777</v>
      </c>
      <c r="K32" s="25">
        <f>IF(8&gt;(Parameters!$C$151+Parameters!$C$152), $C$23/(Parameters!$C$7-Parameters!$C$151-Parameters!$C$152), 0)</f>
        <v>27777.777777777777</v>
      </c>
      <c r="L32" s="25">
        <f>IF(9&gt;(Parameters!$C$151+Parameters!$C$152), $C$23/(Parameters!$C$7-Parameters!$C$151-Parameters!$C$152), 0)</f>
        <v>27777.777777777777</v>
      </c>
      <c r="M32" s="25">
        <f>IF(10&gt;(Parameters!$C$151+Parameters!$C$152), $C$23/(Parameters!$C$7-Parameters!$C$151-Parameters!$C$152), 0)</f>
        <v>27777.777777777777</v>
      </c>
      <c r="N32" s="25">
        <f>IF(11&gt;(Parameters!$C$151+Parameters!$C$152), $C$23/(Parameters!$C$7-Parameters!$C$151-Parameters!$C$152), 0)</f>
        <v>27777.777777777777</v>
      </c>
      <c r="O32" s="25">
        <f>IF(12&gt;(Parameters!$C$151+Parameters!$C$152), $C$23/(Parameters!$C$7-Parameters!$C$151-Parameters!$C$152), 0)</f>
        <v>27777.777777777777</v>
      </c>
      <c r="P32" s="25">
        <f>IF(13&gt;(Parameters!$C$151+Parameters!$C$152), $C$23/(Parameters!$C$7-Parameters!$C$151-Parameters!$C$152), 0)</f>
        <v>27777.777777777777</v>
      </c>
      <c r="Q32" s="25">
        <f>IF(14&gt;(Parameters!$C$151+Parameters!$C$152), $C$23/(Parameters!$C$7-Parameters!$C$151-Parameters!$C$152), 0)</f>
        <v>27777.777777777777</v>
      </c>
      <c r="R32" s="25">
        <f>IF(15&gt;(Parameters!$C$151+Parameters!$C$152), $C$23/(Parameters!$C$7-Parameters!$C$151-Parameters!$C$152), 0)</f>
        <v>27777.777777777777</v>
      </c>
      <c r="S32" s="25">
        <f>IF(16&gt;(Parameters!$C$151+Parameters!$C$152), $C$23/(Parameters!$C$7-Parameters!$C$151-Parameters!$C$152), 0)</f>
        <v>27777.777777777777</v>
      </c>
      <c r="T32" s="25">
        <f>IF(17&gt;(Parameters!$C$151+Parameters!$C$152), $C$23/(Parameters!$C$7-Parameters!$C$151-Parameters!$C$152), 0)</f>
        <v>27777.777777777777</v>
      </c>
      <c r="U32" s="25">
        <f>IF(18&gt;(Parameters!$C$151+Parameters!$C$152), $C$23/(Parameters!$C$7-Parameters!$C$151-Parameters!$C$152), 0)</f>
        <v>27777.777777777777</v>
      </c>
      <c r="V32" s="25">
        <f>IF(19&gt;(Parameters!$C$151+Parameters!$C$152), $C$23/(Parameters!$C$7-Parameters!$C$151-Parameters!$C$152), 0)</f>
        <v>27777.777777777777</v>
      </c>
      <c r="W32" s="25">
        <f>IF(20&gt;(Parameters!$C$151+Parameters!$C$152), $C$23/(Parameters!$C$7-Parameters!$C$151-Parameters!$C$152), 0)</f>
        <v>27777.777777777777</v>
      </c>
      <c r="X32" s="25">
        <f>IF(21&gt;(Parameters!$C$151+Parameters!$C$152), $C$23/(Parameters!$C$7-Parameters!$C$151-Parameters!$C$152), 0)</f>
        <v>27777.777777777777</v>
      </c>
      <c r="Y32" s="25">
        <f>IF(22&gt;(Parameters!$C$151+Parameters!$C$152), $C$23/(Parameters!$C$7-Parameters!$C$151-Parameters!$C$152), 0)</f>
        <v>27777.777777777777</v>
      </c>
      <c r="Z32" s="25">
        <f>IF(23&gt;(Parameters!$C$151+Parameters!$C$152), $C$23/(Parameters!$C$7-Parameters!$C$151-Parameters!$C$152), 0)</f>
        <v>27777.777777777777</v>
      </c>
      <c r="AA32" s="25">
        <f>IF(24&gt;(Parameters!$C$151+Parameters!$C$152), $C$23/(Parameters!$C$7-Parameters!$C$151-Parameters!$C$152), 0)</f>
        <v>27777.777777777777</v>
      </c>
      <c r="AB32" s="25">
        <f>IF(25&gt;(Parameters!$C$151+Parameters!$C$152), $C$23/(Parameters!$C$7-Parameters!$C$151-Parameters!$C$152), 0)</f>
        <v>27777.777777777777</v>
      </c>
      <c r="AC32" s="25">
        <f>IF(26&gt;(Parameters!$C$151+Parameters!$C$152), $C$23/(Parameters!$C$7-Parameters!$C$151-Parameters!$C$152), 0)</f>
        <v>27777.777777777777</v>
      </c>
      <c r="AD32" s="25">
        <f>IF(27&gt;(Parameters!$C$151+Parameters!$C$152), $C$23/(Parameters!$C$7-Parameters!$C$151-Parameters!$C$152), 0)</f>
        <v>27777.777777777777</v>
      </c>
      <c r="AE32" s="25">
        <f>IF(28&gt;(Parameters!$C$151+Parameters!$C$152), $C$23/(Parameters!$C$7-Parameters!$C$151-Parameters!$C$152), 0)</f>
        <v>27777.777777777777</v>
      </c>
      <c r="AF32" s="25">
        <f>IF(29&gt;(Parameters!$C$151+Parameters!$C$152), $C$23/(Parameters!$C$7-Parameters!$C$151-Parameters!$C$152), 0)</f>
        <v>27777.777777777777</v>
      </c>
      <c r="AG32" s="25">
        <f>IF(30&gt;(Parameters!$C$151+Parameters!$C$152), $C$23/(Parameters!$C$7-Parameters!$C$151-Parameters!$C$152), 0)</f>
        <v>27777.777777777777</v>
      </c>
      <c r="AH32" s="25"/>
    </row>
    <row r="33" spans="2:34" ht="15" customHeight="1" x14ac:dyDescent="0.2">
      <c r="B33" t="s">
        <v>551</v>
      </c>
      <c r="D33" s="80">
        <f>D31+D32</f>
        <v>0</v>
      </c>
      <c r="E33" s="80">
        <f>E31+E32</f>
        <v>0</v>
      </c>
      <c r="F33" s="80">
        <f>F31+F32</f>
        <v>0</v>
      </c>
      <c r="G33" s="80">
        <f>G31+G32</f>
        <v>362777.77777777775</v>
      </c>
      <c r="H33" s="80">
        <f t="shared" ref="H33:AG33" si="1">I31+I32</f>
        <v>362777.77777777775</v>
      </c>
      <c r="I33" s="80">
        <f t="shared" si="1"/>
        <v>362777.77777777775</v>
      </c>
      <c r="J33" s="80">
        <f t="shared" si="1"/>
        <v>362777.77777777775</v>
      </c>
      <c r="K33" s="80">
        <f t="shared" si="1"/>
        <v>362777.77777777775</v>
      </c>
      <c r="L33" s="80">
        <f t="shared" si="1"/>
        <v>362777.77777777775</v>
      </c>
      <c r="M33" s="80">
        <f t="shared" si="1"/>
        <v>362777.77777777775</v>
      </c>
      <c r="N33" s="80">
        <f t="shared" si="1"/>
        <v>362777.77777777775</v>
      </c>
      <c r="O33" s="80">
        <f t="shared" si="1"/>
        <v>362777.77777777775</v>
      </c>
      <c r="P33" s="80">
        <f t="shared" si="1"/>
        <v>362777.77777777775</v>
      </c>
      <c r="Q33" s="80">
        <f t="shared" si="1"/>
        <v>362777.77777777775</v>
      </c>
      <c r="R33" s="80">
        <f t="shared" si="1"/>
        <v>362777.77777777775</v>
      </c>
      <c r="S33" s="80">
        <f t="shared" si="1"/>
        <v>362777.77777777775</v>
      </c>
      <c r="T33" s="80">
        <f t="shared" si="1"/>
        <v>362777.77777777775</v>
      </c>
      <c r="U33" s="80">
        <f t="shared" si="1"/>
        <v>362777.77777777775</v>
      </c>
      <c r="V33" s="80">
        <f t="shared" si="1"/>
        <v>362777.77777777775</v>
      </c>
      <c r="W33" s="80">
        <f t="shared" si="1"/>
        <v>362777.77777777775</v>
      </c>
      <c r="X33" s="80">
        <f t="shared" si="1"/>
        <v>362777.77777777775</v>
      </c>
      <c r="Y33" s="80">
        <f t="shared" si="1"/>
        <v>362777.77777777775</v>
      </c>
      <c r="Z33" s="80">
        <f t="shared" si="1"/>
        <v>362777.77777777775</v>
      </c>
      <c r="AA33" s="80">
        <f t="shared" si="1"/>
        <v>362777.77777777775</v>
      </c>
      <c r="AB33" s="80">
        <f t="shared" si="1"/>
        <v>362777.77777777775</v>
      </c>
      <c r="AC33" s="80">
        <f t="shared" si="1"/>
        <v>362777.77777777775</v>
      </c>
      <c r="AD33" s="80">
        <f t="shared" si="1"/>
        <v>362777.77777777775</v>
      </c>
      <c r="AE33" s="80">
        <f t="shared" si="1"/>
        <v>362777.77777777775</v>
      </c>
      <c r="AF33" s="80">
        <f t="shared" si="1"/>
        <v>362777.77777777775</v>
      </c>
      <c r="AG33" s="80">
        <f t="shared" si="1"/>
        <v>0</v>
      </c>
      <c r="AH33" s="80"/>
    </row>
    <row r="35" spans="2:34" ht="15" customHeight="1" x14ac:dyDescent="0.2">
      <c r="B35" t="s">
        <v>552</v>
      </c>
      <c r="D35" s="25">
        <f>IF(1&gt;(Parameters!$C$153+Parameters!$C$152), $G$17*(1+Parameters!$C$12)^0, 0)</f>
        <v>0</v>
      </c>
      <c r="E35" s="25">
        <f>IF(2&gt;(Parameters!$C$153+Parameters!$C$152), $G$17*(1+Parameters!$C$12)^1, 0)</f>
        <v>0</v>
      </c>
      <c r="F35" s="25">
        <f>IF(3&gt;(Parameters!$C$153+Parameters!$C$152), $G$17*(1+Parameters!$C$12)^2, 0)</f>
        <v>335000</v>
      </c>
      <c r="G35" s="25">
        <f>IF(4&gt;(Parameters!$C$153+Parameters!$C$152), $G$17*(1+Parameters!$C$12)^3, 0)</f>
        <v>335000</v>
      </c>
      <c r="H35" s="25">
        <f>IF(5&gt;(Parameters!$C$153+Parameters!$C$152), $G$17*(1+Parameters!$C$12)^4, 0)</f>
        <v>335000</v>
      </c>
      <c r="I35" s="25">
        <f>IF(6&gt;(Parameters!$C$153+Parameters!$C$152), $G$17*(1+Parameters!$C$12)^5, 0)</f>
        <v>335000</v>
      </c>
      <c r="J35" s="25">
        <f>IF(7&gt;(Parameters!$C$153+Parameters!$C$152), $G$17*(1+Parameters!$C$12)^6, 0)</f>
        <v>335000</v>
      </c>
      <c r="K35" s="25">
        <f>IF(8&gt;(Parameters!$C$153+Parameters!$C$152), $G$17*(1+Parameters!$C$12)^7, 0)</f>
        <v>335000</v>
      </c>
      <c r="L35" s="25">
        <f>IF(9&gt;(Parameters!$C$153+Parameters!$C$152), $G$17*(1+Parameters!$C$12)^8, 0)</f>
        <v>335000</v>
      </c>
      <c r="M35" s="25">
        <f>IF(10&gt;(Parameters!$C$153+Parameters!$C$152), $G$17*(1+Parameters!$C$12)^9, 0)</f>
        <v>335000</v>
      </c>
      <c r="N35" s="25">
        <f>IF(11&gt;(Parameters!$C$153+Parameters!$C$152), $G$17*(1+Parameters!$C$12)^10, 0)</f>
        <v>335000</v>
      </c>
      <c r="O35" s="25">
        <f>IF(12&gt;(Parameters!$C$153+Parameters!$C$152), $G$17*(1+Parameters!$C$12)^11, 0)</f>
        <v>335000</v>
      </c>
      <c r="P35" s="25">
        <f>IF(13&gt;(Parameters!$C$153+Parameters!$C$152), $G$17*(1+Parameters!$C$12)^12, 0)</f>
        <v>335000</v>
      </c>
      <c r="Q35" s="25">
        <f>IF(14&gt;(Parameters!$C$153+Parameters!$C$152), $G$17*(1+Parameters!$C$12)^13, 0)</f>
        <v>335000</v>
      </c>
      <c r="R35" s="25">
        <f>IF(15&gt;(Parameters!$C$153+Parameters!$C$152), $G$17*(1+Parameters!$C$12)^14, 0)</f>
        <v>335000</v>
      </c>
      <c r="S35" s="25">
        <f>IF(16&gt;(Parameters!$C$153+Parameters!$C$152), $G$17*(1+Parameters!$C$12)^15, 0)</f>
        <v>335000</v>
      </c>
      <c r="T35" s="25">
        <f>IF(17&gt;(Parameters!$C$153+Parameters!$C$152), $G$17*(1+Parameters!$C$12)^16, 0)</f>
        <v>335000</v>
      </c>
      <c r="U35" s="25">
        <f>IF(18&gt;(Parameters!$C$153+Parameters!$C$152), $G$17*(1+Parameters!$C$12)^17, 0)</f>
        <v>335000</v>
      </c>
      <c r="V35" s="25">
        <f>IF(19&gt;(Parameters!$C$153+Parameters!$C$152), $G$17*(1+Parameters!$C$12)^18, 0)</f>
        <v>335000</v>
      </c>
      <c r="W35" s="25">
        <f>IF(20&gt;(Parameters!$C$153+Parameters!$C$152), $G$17*(1+Parameters!$C$12)^19, 0)</f>
        <v>335000</v>
      </c>
      <c r="X35" s="25">
        <f>IF(21&gt;(Parameters!$C$153+Parameters!$C$152), $G$17*(1+Parameters!$C$12)^20, 0)</f>
        <v>335000</v>
      </c>
      <c r="Y35" s="25">
        <f>IF(22&gt;(Parameters!$C$153+Parameters!$C$152), $G$17*(1+Parameters!$C$12)^21, 0)</f>
        <v>335000</v>
      </c>
      <c r="Z35" s="25">
        <f>IF(23&gt;(Parameters!$C$153+Parameters!$C$152), $G$17*(1+Parameters!$C$12)^22, 0)</f>
        <v>335000</v>
      </c>
      <c r="AA35" s="25">
        <f>IF(24&gt;(Parameters!$C$153+Parameters!$C$152), $G$17*(1+Parameters!$C$12)^23, 0)</f>
        <v>335000</v>
      </c>
      <c r="AB35" s="25">
        <f>IF(25&gt;(Parameters!$C$153+Parameters!$C$152), $G$17*(1+Parameters!$C$12)^24, 0)</f>
        <v>335000</v>
      </c>
      <c r="AC35" s="25">
        <f>IF(26&gt;(Parameters!$C$153+Parameters!$C$152), $G$17*(1+Parameters!$C$12)^25, 0)</f>
        <v>335000</v>
      </c>
      <c r="AD35" s="25">
        <f>IF(27&gt;(Parameters!$C$153+Parameters!$C$152), $G$17*(1+Parameters!$C$12)^26, 0)</f>
        <v>335000</v>
      </c>
      <c r="AE35" s="25">
        <f>IF(28&gt;(Parameters!$C$153+Parameters!$C$152), $G$17*(1+Parameters!$C$12)^27, 0)</f>
        <v>335000</v>
      </c>
      <c r="AF35" s="25">
        <f>IF(29&gt;(Parameters!$C$153+Parameters!$C$152), $G$17*(1+Parameters!$C$12)^28, 0)</f>
        <v>335000</v>
      </c>
      <c r="AG35" s="25">
        <f>IF(30&gt;(Parameters!$C$153+Parameters!$C$152), $G$17*(1+Parameters!$C$12)^29, 0)</f>
        <v>335000</v>
      </c>
      <c r="AH35" s="25"/>
    </row>
    <row r="36" spans="2:34" ht="15" customHeight="1" x14ac:dyDescent="0.2">
      <c r="B36" t="s">
        <v>553</v>
      </c>
      <c r="D36" s="25">
        <f>IF(1&gt;(Parameters!$C$153+Parameters!$C$152), $C$23/(Parameters!$C$7-Parameters!$C$153-Parameters!$C$152), 0)</f>
        <v>0</v>
      </c>
      <c r="E36" s="25">
        <f>IF(2&gt;(Parameters!$C$153+Parameters!$C$152), $C$23/(Parameters!$C$7-Parameters!$C$153-Parameters!$C$152), 0)</f>
        <v>0</v>
      </c>
      <c r="F36" s="25">
        <f>IF(3&gt;(Parameters!$C$153+Parameters!$C$152), $C$23/(Parameters!$C$7-Parameters!$C$153-Parameters!$C$152), 0)</f>
        <v>26785.714285714286</v>
      </c>
      <c r="G36" s="25">
        <f>IF(4&gt;(Parameters!$C$153+Parameters!$C$152), $C$23/(Parameters!$C$7-Parameters!$C$153-Parameters!$C$152), 0)</f>
        <v>26785.714285714286</v>
      </c>
      <c r="H36" s="25">
        <f>IF(5&gt;(Parameters!$C$153+Parameters!$C$152), $C$23/(Parameters!$C$7-Parameters!$C$153-Parameters!$C$152), 0)</f>
        <v>26785.714285714286</v>
      </c>
      <c r="I36" s="25">
        <f>IF(6&gt;(Parameters!$C$153+Parameters!$C$152), $C$23/(Parameters!$C$7-Parameters!$C$153-Parameters!$C$152), 0)</f>
        <v>26785.714285714286</v>
      </c>
      <c r="J36" s="25">
        <f>IF(7&gt;(Parameters!$C$153+Parameters!$C$152), $C$23/(Parameters!$C$7-Parameters!$C$153-Parameters!$C$152), 0)</f>
        <v>26785.714285714286</v>
      </c>
      <c r="K36" s="25">
        <f>IF(8&gt;(Parameters!$C$153+Parameters!$C$152), $C$23/(Parameters!$C$7-Parameters!$C$153-Parameters!$C$152), 0)</f>
        <v>26785.714285714286</v>
      </c>
      <c r="L36" s="25">
        <f>IF(9&gt;(Parameters!$C$153+Parameters!$C$152), $C$23/(Parameters!$C$7-Parameters!$C$153-Parameters!$C$152), 0)</f>
        <v>26785.714285714286</v>
      </c>
      <c r="M36" s="25">
        <f>IF(10&gt;(Parameters!$C$153+Parameters!$C$152), $C$23/(Parameters!$C$7-Parameters!$C$153-Parameters!$C$152), 0)</f>
        <v>26785.714285714286</v>
      </c>
      <c r="N36" s="25">
        <f>IF(11&gt;(Parameters!$C$153+Parameters!$C$152), $C$23/(Parameters!$C$7-Parameters!$C$153-Parameters!$C$152), 0)</f>
        <v>26785.714285714286</v>
      </c>
      <c r="O36" s="25">
        <f>IF(12&gt;(Parameters!$C$153+Parameters!$C$152), $C$23/(Parameters!$C$7-Parameters!$C$153-Parameters!$C$152), 0)</f>
        <v>26785.714285714286</v>
      </c>
      <c r="P36" s="25">
        <f>IF(13&gt;(Parameters!$C$153+Parameters!$C$152), $C$23/(Parameters!$C$7-Parameters!$C$153-Parameters!$C$152), 0)</f>
        <v>26785.714285714286</v>
      </c>
      <c r="Q36" s="25">
        <f>IF(14&gt;(Parameters!$C$153+Parameters!$C$152), $C$23/(Parameters!$C$7-Parameters!$C$153-Parameters!$C$152), 0)</f>
        <v>26785.714285714286</v>
      </c>
      <c r="R36" s="25">
        <f>IF(15&gt;(Parameters!$C$153+Parameters!$C$152), $C$23/(Parameters!$C$7-Parameters!$C$153-Parameters!$C$152), 0)</f>
        <v>26785.714285714286</v>
      </c>
      <c r="S36" s="25">
        <f>IF(16&gt;(Parameters!$C$153+Parameters!$C$152), $C$23/(Parameters!$C$7-Parameters!$C$153-Parameters!$C$152), 0)</f>
        <v>26785.714285714286</v>
      </c>
      <c r="T36" s="25">
        <f>IF(17&gt;(Parameters!$C$153+Parameters!$C$152), $C$23/(Parameters!$C$7-Parameters!$C$153-Parameters!$C$152), 0)</f>
        <v>26785.714285714286</v>
      </c>
      <c r="U36" s="25">
        <f>IF(18&gt;(Parameters!$C$153+Parameters!$C$152), $C$23/(Parameters!$C$7-Parameters!$C$153-Parameters!$C$152), 0)</f>
        <v>26785.714285714286</v>
      </c>
      <c r="V36" s="25">
        <f>IF(19&gt;(Parameters!$C$153+Parameters!$C$152), $C$23/(Parameters!$C$7-Parameters!$C$153-Parameters!$C$152), 0)</f>
        <v>26785.714285714286</v>
      </c>
      <c r="W36" s="25">
        <f>IF(20&gt;(Parameters!$C$153+Parameters!$C$152), $C$23/(Parameters!$C$7-Parameters!$C$153-Parameters!$C$152), 0)</f>
        <v>26785.714285714286</v>
      </c>
      <c r="X36" s="25">
        <f>IF(21&gt;(Parameters!$C$153+Parameters!$C$152), $C$23/(Parameters!$C$7-Parameters!$C$153-Parameters!$C$152), 0)</f>
        <v>26785.714285714286</v>
      </c>
      <c r="Y36" s="25">
        <f>IF(22&gt;(Parameters!$C$153+Parameters!$C$152), $C$23/(Parameters!$C$7-Parameters!$C$153-Parameters!$C$152), 0)</f>
        <v>26785.714285714286</v>
      </c>
      <c r="Z36" s="25">
        <f>IF(23&gt;(Parameters!$C$153+Parameters!$C$152), $C$23/(Parameters!$C$7-Parameters!$C$153-Parameters!$C$152), 0)</f>
        <v>26785.714285714286</v>
      </c>
      <c r="AA36" s="25">
        <f>IF(24&gt;(Parameters!$C$153+Parameters!$C$152), $C$23/(Parameters!$C$7-Parameters!$C$153-Parameters!$C$152), 0)</f>
        <v>26785.714285714286</v>
      </c>
      <c r="AB36" s="25">
        <f>IF(25&gt;(Parameters!$C$153+Parameters!$C$152), $C$23/(Parameters!$C$7-Parameters!$C$153-Parameters!$C$152), 0)</f>
        <v>26785.714285714286</v>
      </c>
      <c r="AC36" s="25">
        <f>IF(26&gt;(Parameters!$C$153+Parameters!$C$152), $C$23/(Parameters!$C$7-Parameters!$C$153-Parameters!$C$152), 0)</f>
        <v>26785.714285714286</v>
      </c>
      <c r="AD36" s="25">
        <f>IF(27&gt;(Parameters!$C$153+Parameters!$C$152), $C$23/(Parameters!$C$7-Parameters!$C$153-Parameters!$C$152), 0)</f>
        <v>26785.714285714286</v>
      </c>
      <c r="AE36" s="25">
        <f>IF(28&gt;(Parameters!$C$153+Parameters!$C$152), $C$23/(Parameters!$C$7-Parameters!$C$153-Parameters!$C$152), 0)</f>
        <v>26785.714285714286</v>
      </c>
      <c r="AF36" s="25">
        <f>IF(29&gt;(Parameters!$C$153+Parameters!$C$152), $C$23/(Parameters!$C$7-Parameters!$C$153-Parameters!$C$152), 0)</f>
        <v>26785.714285714286</v>
      </c>
      <c r="AG36" s="25">
        <f>IF(30&gt;(Parameters!$C$153+Parameters!$C$152), $C$23/(Parameters!$C$7-Parameters!$C$153-Parameters!$C$152), 0)</f>
        <v>26785.714285714286</v>
      </c>
      <c r="AH36" s="25"/>
    </row>
    <row r="37" spans="2:34" ht="15" customHeight="1" x14ac:dyDescent="0.2">
      <c r="B37" t="s">
        <v>554</v>
      </c>
      <c r="D37" s="80">
        <f>D35+D36</f>
        <v>0</v>
      </c>
      <c r="E37" s="80">
        <f>E35+E36</f>
        <v>0</v>
      </c>
      <c r="F37" s="80">
        <f>F35+F36</f>
        <v>361785.71428571426</v>
      </c>
      <c r="G37" s="80">
        <f>G35+G36</f>
        <v>361785.71428571426</v>
      </c>
      <c r="H37" s="80">
        <f t="shared" ref="H37:AG37" si="2">I35+I36</f>
        <v>361785.71428571426</v>
      </c>
      <c r="I37" s="80">
        <f t="shared" si="2"/>
        <v>361785.71428571426</v>
      </c>
      <c r="J37" s="80">
        <f t="shared" si="2"/>
        <v>361785.71428571426</v>
      </c>
      <c r="K37" s="80">
        <f t="shared" si="2"/>
        <v>361785.71428571426</v>
      </c>
      <c r="L37" s="80">
        <f t="shared" si="2"/>
        <v>361785.71428571426</v>
      </c>
      <c r="M37" s="80">
        <f t="shared" si="2"/>
        <v>361785.71428571426</v>
      </c>
      <c r="N37" s="80">
        <f t="shared" si="2"/>
        <v>361785.71428571426</v>
      </c>
      <c r="O37" s="80">
        <f t="shared" si="2"/>
        <v>361785.71428571426</v>
      </c>
      <c r="P37" s="80">
        <f t="shared" si="2"/>
        <v>361785.71428571426</v>
      </c>
      <c r="Q37" s="80">
        <f t="shared" si="2"/>
        <v>361785.71428571426</v>
      </c>
      <c r="R37" s="80">
        <f t="shared" si="2"/>
        <v>361785.71428571426</v>
      </c>
      <c r="S37" s="80">
        <f t="shared" si="2"/>
        <v>361785.71428571426</v>
      </c>
      <c r="T37" s="80">
        <f t="shared" si="2"/>
        <v>361785.71428571426</v>
      </c>
      <c r="U37" s="80">
        <f t="shared" si="2"/>
        <v>361785.71428571426</v>
      </c>
      <c r="V37" s="80">
        <f t="shared" si="2"/>
        <v>361785.71428571426</v>
      </c>
      <c r="W37" s="80">
        <f t="shared" si="2"/>
        <v>361785.71428571426</v>
      </c>
      <c r="X37" s="80">
        <f t="shared" si="2"/>
        <v>361785.71428571426</v>
      </c>
      <c r="Y37" s="80">
        <f t="shared" si="2"/>
        <v>361785.71428571426</v>
      </c>
      <c r="Z37" s="80">
        <f t="shared" si="2"/>
        <v>361785.71428571426</v>
      </c>
      <c r="AA37" s="80">
        <f t="shared" si="2"/>
        <v>361785.71428571426</v>
      </c>
      <c r="AB37" s="80">
        <f t="shared" si="2"/>
        <v>361785.71428571426</v>
      </c>
      <c r="AC37" s="80">
        <f t="shared" si="2"/>
        <v>361785.71428571426</v>
      </c>
      <c r="AD37" s="80">
        <f t="shared" si="2"/>
        <v>361785.71428571426</v>
      </c>
      <c r="AE37" s="80">
        <f t="shared" si="2"/>
        <v>361785.71428571426</v>
      </c>
      <c r="AF37" s="80">
        <f t="shared" si="2"/>
        <v>361785.71428571426</v>
      </c>
      <c r="AG37" s="80">
        <f t="shared" si="2"/>
        <v>0</v>
      </c>
      <c r="AH37" s="80"/>
    </row>
    <row r="39" spans="2:34" ht="15" customHeight="1" x14ac:dyDescent="0.2">
      <c r="B39" t="s">
        <v>555</v>
      </c>
      <c r="D39" s="81">
        <f>IF(1&gt;Parameters!$C$153, $H$17*(1+Parameters!$C$12)^0, 0)</f>
        <v>0</v>
      </c>
      <c r="E39" s="81">
        <f>IF(2&gt;Parameters!$C$153, $H$17*(1+Parameters!$C$12)^1, 0)</f>
        <v>115000</v>
      </c>
      <c r="F39" s="81">
        <f>IF(3&gt;Parameters!$C$153, $H$17*(1+Parameters!$C$12)^2, 0)</f>
        <v>115000</v>
      </c>
      <c r="G39" s="81">
        <f>IF(4&gt;Parameters!$C$153, $H$17*(1+Parameters!$C$12)^3, 0)</f>
        <v>115000</v>
      </c>
      <c r="H39" s="81">
        <f>IF(5&gt;Parameters!$C$153, $H$17*(1+Parameters!$C$12)^4, 0)</f>
        <v>115000</v>
      </c>
      <c r="I39" s="81">
        <f>IF(6&gt;Parameters!$C$153, $H$17*(1+Parameters!$C$12)^5, 0)</f>
        <v>115000</v>
      </c>
      <c r="J39" s="81">
        <f>IF(7&gt;Parameters!$C$153, $H$17*(1+Parameters!$C$12)^6, 0)</f>
        <v>115000</v>
      </c>
      <c r="K39" s="81">
        <f>IF(8&gt;Parameters!$C$153, $H$17*(1+Parameters!$C$12)^7, 0)</f>
        <v>115000</v>
      </c>
      <c r="L39" s="81">
        <f>IF(9&gt;Parameters!$C$153, $H$17*(1+Parameters!$C$12)^8, 0)</f>
        <v>115000</v>
      </c>
      <c r="M39" s="81">
        <f>IF(10&gt;Parameters!$C$153, $H$17*(1+Parameters!$C$12)^9, 0)</f>
        <v>115000</v>
      </c>
      <c r="N39" s="81">
        <f>IF(11&gt;Parameters!$C$153, $H$17*(1+Parameters!$C$12)^10, 0)</f>
        <v>115000</v>
      </c>
      <c r="O39" s="81">
        <f>IF(12&gt;Parameters!$C$153, $H$17*(1+Parameters!$C$12)^11, 0)</f>
        <v>115000</v>
      </c>
      <c r="P39" s="81">
        <f>IF(13&gt;Parameters!$C$153, $H$17*(1+Parameters!$C$12)^12, 0)</f>
        <v>115000</v>
      </c>
      <c r="Q39" s="81">
        <f>IF(14&gt;Parameters!$C$153, $H$17*(1+Parameters!$C$12)^13, 0)</f>
        <v>115000</v>
      </c>
      <c r="R39" s="81">
        <f>IF(15&gt;Parameters!$C$153, $H$17*(1+Parameters!$C$12)^14, 0)</f>
        <v>115000</v>
      </c>
      <c r="S39" s="81">
        <f>IF(16&gt;Parameters!$C$153, $H$17*(1+Parameters!$C$12)^15, 0)</f>
        <v>115000</v>
      </c>
      <c r="T39" s="81">
        <f>IF(17&gt;Parameters!$C$153, $H$17*(1+Parameters!$C$12)^16, 0)</f>
        <v>115000</v>
      </c>
      <c r="U39" s="81">
        <f>IF(18&gt;Parameters!$C$153, $H$17*(1+Parameters!$C$12)^17, 0)</f>
        <v>115000</v>
      </c>
      <c r="V39" s="81">
        <f>IF(19&gt;Parameters!$C$153, $H$17*(1+Parameters!$C$12)^18, 0)</f>
        <v>115000</v>
      </c>
      <c r="W39" s="81">
        <f>IF(20&gt;Parameters!$C$153, $H$17*(1+Parameters!$C$12)^19, 0)</f>
        <v>115000</v>
      </c>
      <c r="X39" s="81">
        <f>IF(21&gt;Parameters!$C$153, $H$17*(1+Parameters!$C$12)^20, 0)</f>
        <v>115000</v>
      </c>
      <c r="Y39" s="81">
        <f>IF(22&gt;Parameters!$C$153, $H$17*(1+Parameters!$C$12)^21, 0)</f>
        <v>115000</v>
      </c>
      <c r="Z39" s="81">
        <f>IF(23&gt;Parameters!$C$153, $H$17*(1+Parameters!$C$12)^22, 0)</f>
        <v>115000</v>
      </c>
      <c r="AA39" s="81">
        <f>IF(24&gt;Parameters!$C$153, $H$17*(1+Parameters!$C$12)^23, 0)</f>
        <v>115000</v>
      </c>
      <c r="AB39" s="81">
        <f>IF(25&gt;Parameters!$C$153, $H$17*(1+Parameters!$C$12)^24, 0)</f>
        <v>115000</v>
      </c>
      <c r="AC39" s="81">
        <f>IF(26&gt;Parameters!$C$153, $H$17*(1+Parameters!$C$12)^25, 0)</f>
        <v>115000</v>
      </c>
      <c r="AD39" s="81">
        <f>IF(27&gt;Parameters!$C$153, $H$17*(1+Parameters!$C$12)^26, 0)</f>
        <v>115000</v>
      </c>
      <c r="AE39" s="81">
        <f>IF(28&gt;Parameters!$C$153, $H$17*(1+Parameters!$C$12)^27, 0)</f>
        <v>115000</v>
      </c>
      <c r="AF39" s="81">
        <f>IF(29&gt;Parameters!$C$153, $H$17*(1+Parameters!$C$12)^28, 0)</f>
        <v>115000</v>
      </c>
      <c r="AG39" s="81">
        <f>IF(30&gt;Parameters!$C$153, $H$17*(1+Parameters!$C$12)^29, 0)</f>
        <v>115000</v>
      </c>
      <c r="AH39" s="81"/>
    </row>
    <row r="40" spans="2:34" ht="15" customHeight="1" x14ac:dyDescent="0.2">
      <c r="B40" t="s">
        <v>556</v>
      </c>
      <c r="D40" s="81">
        <v>0</v>
      </c>
      <c r="E40" s="81">
        <v>0</v>
      </c>
      <c r="F40" s="81">
        <v>0</v>
      </c>
      <c r="G40" s="81">
        <v>0</v>
      </c>
      <c r="H40" s="81">
        <v>0</v>
      </c>
      <c r="I40" s="81">
        <v>0</v>
      </c>
      <c r="J40" s="81">
        <v>0</v>
      </c>
      <c r="K40" s="81">
        <v>0</v>
      </c>
      <c r="L40" s="81">
        <v>0</v>
      </c>
      <c r="M40" s="81">
        <v>0</v>
      </c>
      <c r="N40" s="81">
        <v>0</v>
      </c>
      <c r="O40" s="81">
        <v>0</v>
      </c>
      <c r="P40" s="81">
        <v>0</v>
      </c>
      <c r="Q40" s="81">
        <v>0</v>
      </c>
      <c r="R40" s="81">
        <v>0</v>
      </c>
      <c r="S40" s="81">
        <v>0</v>
      </c>
      <c r="T40" s="81">
        <v>0</v>
      </c>
      <c r="U40" s="81">
        <v>0</v>
      </c>
      <c r="V40" s="81">
        <v>0</v>
      </c>
      <c r="W40" s="81">
        <v>0</v>
      </c>
      <c r="X40" s="81">
        <v>0</v>
      </c>
      <c r="Y40" s="81">
        <v>0</v>
      </c>
      <c r="Z40" s="81">
        <v>0</v>
      </c>
      <c r="AA40" s="81">
        <v>0</v>
      </c>
      <c r="AB40" s="81">
        <v>0</v>
      </c>
      <c r="AC40" s="81">
        <v>0</v>
      </c>
      <c r="AD40" s="81">
        <v>0</v>
      </c>
      <c r="AE40" s="81">
        <v>0</v>
      </c>
      <c r="AF40" s="81">
        <v>0</v>
      </c>
      <c r="AG40" s="81">
        <v>0</v>
      </c>
      <c r="AH40" s="81"/>
    </row>
    <row r="41" spans="2:34" ht="15" customHeight="1" x14ac:dyDescent="0.2">
      <c r="B41" t="s">
        <v>557</v>
      </c>
      <c r="D41" s="80">
        <f t="shared" ref="D41:AG41" si="3">D39+D40</f>
        <v>0</v>
      </c>
      <c r="E41" s="80">
        <f t="shared" si="3"/>
        <v>115000</v>
      </c>
      <c r="F41" s="80">
        <f t="shared" si="3"/>
        <v>115000</v>
      </c>
      <c r="G41" s="80">
        <f t="shared" si="3"/>
        <v>115000</v>
      </c>
      <c r="H41" s="80">
        <f t="shared" si="3"/>
        <v>115000</v>
      </c>
      <c r="I41" s="80">
        <f t="shared" si="3"/>
        <v>115000</v>
      </c>
      <c r="J41" s="80">
        <f t="shared" si="3"/>
        <v>115000</v>
      </c>
      <c r="K41" s="80">
        <f t="shared" si="3"/>
        <v>115000</v>
      </c>
      <c r="L41" s="80">
        <f t="shared" si="3"/>
        <v>115000</v>
      </c>
      <c r="M41" s="80">
        <f t="shared" si="3"/>
        <v>115000</v>
      </c>
      <c r="N41" s="80">
        <f t="shared" si="3"/>
        <v>115000</v>
      </c>
      <c r="O41" s="80">
        <f t="shared" si="3"/>
        <v>115000</v>
      </c>
      <c r="P41" s="80">
        <f t="shared" si="3"/>
        <v>115000</v>
      </c>
      <c r="Q41" s="80">
        <f t="shared" si="3"/>
        <v>115000</v>
      </c>
      <c r="R41" s="80">
        <f t="shared" si="3"/>
        <v>115000</v>
      </c>
      <c r="S41" s="80">
        <f t="shared" si="3"/>
        <v>115000</v>
      </c>
      <c r="T41" s="80">
        <f t="shared" si="3"/>
        <v>115000</v>
      </c>
      <c r="U41" s="80">
        <f t="shared" si="3"/>
        <v>115000</v>
      </c>
      <c r="V41" s="80">
        <f t="shared" si="3"/>
        <v>115000</v>
      </c>
      <c r="W41" s="80">
        <f t="shared" si="3"/>
        <v>115000</v>
      </c>
      <c r="X41" s="80">
        <f t="shared" si="3"/>
        <v>115000</v>
      </c>
      <c r="Y41" s="80">
        <f t="shared" si="3"/>
        <v>115000</v>
      </c>
      <c r="Z41" s="80">
        <f t="shared" si="3"/>
        <v>115000</v>
      </c>
      <c r="AA41" s="80">
        <f t="shared" si="3"/>
        <v>115000</v>
      </c>
      <c r="AB41" s="80">
        <f t="shared" si="3"/>
        <v>115000</v>
      </c>
      <c r="AC41" s="80">
        <f t="shared" si="3"/>
        <v>115000</v>
      </c>
      <c r="AD41" s="80">
        <f t="shared" si="3"/>
        <v>115000</v>
      </c>
      <c r="AE41" s="80">
        <f t="shared" si="3"/>
        <v>115000</v>
      </c>
      <c r="AF41" s="80">
        <f t="shared" si="3"/>
        <v>115000</v>
      </c>
      <c r="AG41" s="80">
        <f t="shared" si="3"/>
        <v>115000</v>
      </c>
      <c r="AH41" s="80"/>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4"/>
  <sheetViews>
    <sheetView showGridLines="0" zoomScaleNormal="100" workbookViewId="0">
      <selection activeCell="B34" sqref="B34"/>
    </sheetView>
  </sheetViews>
  <sheetFormatPr baseColWidth="10" defaultColWidth="8.6640625" defaultRowHeight="15" x14ac:dyDescent="0.2"/>
  <cols>
    <col min="1" max="1" width="3" customWidth="1"/>
    <col min="2" max="2" width="34" customWidth="1"/>
    <col min="3" max="3" width="92" customWidth="1"/>
  </cols>
  <sheetData>
    <row r="1" spans="1:3" ht="18" customHeight="1" x14ac:dyDescent="0.2">
      <c r="A1" s="105"/>
      <c r="B1" s="29" t="s">
        <v>558</v>
      </c>
    </row>
    <row r="2" spans="1:3" ht="15" customHeight="1" x14ac:dyDescent="0.2">
      <c r="B2" s="1" t="s">
        <v>559</v>
      </c>
      <c r="C2" s="1"/>
    </row>
    <row r="4" spans="1:3" ht="15" customHeight="1" x14ac:dyDescent="0.2">
      <c r="B4" s="82" t="s">
        <v>560</v>
      </c>
      <c r="C4" s="82"/>
    </row>
    <row r="5" spans="1:3" ht="30" customHeight="1" x14ac:dyDescent="0.2">
      <c r="B5" s="83" t="s">
        <v>561</v>
      </c>
      <c r="C5" s="84" t="s">
        <v>562</v>
      </c>
    </row>
    <row r="6" spans="1:3" ht="45" customHeight="1" x14ac:dyDescent="0.2">
      <c r="B6" s="83" t="s">
        <v>563</v>
      </c>
      <c r="C6" s="84" t="s">
        <v>564</v>
      </c>
    </row>
    <row r="7" spans="1:3" ht="45" customHeight="1" x14ac:dyDescent="0.2">
      <c r="B7" s="83" t="s">
        <v>565</v>
      </c>
      <c r="C7" s="84" t="s">
        <v>566</v>
      </c>
    </row>
    <row r="8" spans="1:3" ht="30" customHeight="1" x14ac:dyDescent="0.2">
      <c r="B8" s="83" t="s">
        <v>567</v>
      </c>
      <c r="C8" s="84" t="s">
        <v>568</v>
      </c>
    </row>
    <row r="9" spans="1:3" ht="30" customHeight="1" x14ac:dyDescent="0.2">
      <c r="B9" s="83" t="s">
        <v>569</v>
      </c>
      <c r="C9" s="84" t="s">
        <v>570</v>
      </c>
    </row>
    <row r="10" spans="1:3" ht="30" customHeight="1" x14ac:dyDescent="0.2">
      <c r="B10" s="83" t="s">
        <v>571</v>
      </c>
      <c r="C10" s="84" t="s">
        <v>572</v>
      </c>
    </row>
    <row r="11" spans="1:3" ht="30" customHeight="1" x14ac:dyDescent="0.2">
      <c r="B11" s="83" t="s">
        <v>573</v>
      </c>
      <c r="C11" s="84" t="s">
        <v>574</v>
      </c>
    </row>
    <row r="12" spans="1:3" ht="30" customHeight="1" x14ac:dyDescent="0.2">
      <c r="B12" s="83" t="s">
        <v>575</v>
      </c>
      <c r="C12" s="84" t="s">
        <v>576</v>
      </c>
    </row>
    <row r="13" spans="1:3" ht="15" customHeight="1" x14ac:dyDescent="0.2">
      <c r="B13" s="82" t="s">
        <v>577</v>
      </c>
      <c r="C13" s="82"/>
    </row>
    <row r="14" spans="1:3" ht="30" customHeight="1" x14ac:dyDescent="0.2">
      <c r="B14" s="83" t="s">
        <v>196</v>
      </c>
      <c r="C14" s="84" t="s">
        <v>578</v>
      </c>
    </row>
    <row r="15" spans="1:3" ht="27.75" customHeight="1" x14ac:dyDescent="0.2">
      <c r="B15" s="83" t="s">
        <v>579</v>
      </c>
      <c r="C15" s="84" t="s">
        <v>580</v>
      </c>
    </row>
    <row r="16" spans="1:3" ht="30" customHeight="1" x14ac:dyDescent="0.2">
      <c r="B16" s="83" t="s">
        <v>581</v>
      </c>
      <c r="C16" s="84" t="s">
        <v>582</v>
      </c>
    </row>
    <row r="17" spans="2:3" ht="30" customHeight="1" x14ac:dyDescent="0.2">
      <c r="B17" s="83" t="s">
        <v>583</v>
      </c>
      <c r="C17" s="84" t="s">
        <v>584</v>
      </c>
    </row>
    <row r="18" spans="2:3" ht="30" customHeight="1" x14ac:dyDescent="0.2">
      <c r="B18" s="83" t="s">
        <v>585</v>
      </c>
      <c r="C18" s="84" t="s">
        <v>586</v>
      </c>
    </row>
    <row r="19" spans="2:3" ht="30" customHeight="1" x14ac:dyDescent="0.2">
      <c r="B19" s="83" t="s">
        <v>138</v>
      </c>
      <c r="C19" s="84" t="s">
        <v>587</v>
      </c>
    </row>
    <row r="20" spans="2:3" ht="30" customHeight="1" x14ac:dyDescent="0.2">
      <c r="B20" s="83" t="s">
        <v>588</v>
      </c>
      <c r="C20" s="84" t="s">
        <v>589</v>
      </c>
    </row>
    <row r="21" spans="2:3" ht="30" customHeight="1" x14ac:dyDescent="0.2">
      <c r="B21" s="83" t="s">
        <v>590</v>
      </c>
      <c r="C21" s="84" t="s">
        <v>591</v>
      </c>
    </row>
    <row r="22" spans="2:3" ht="15" customHeight="1" x14ac:dyDescent="0.2">
      <c r="B22" s="82" t="s">
        <v>592</v>
      </c>
      <c r="C22" s="82"/>
    </row>
    <row r="23" spans="2:3" ht="30" customHeight="1" x14ac:dyDescent="0.2">
      <c r="B23" s="83" t="s">
        <v>593</v>
      </c>
      <c r="C23" s="84" t="s">
        <v>594</v>
      </c>
    </row>
    <row r="24" spans="2:3" ht="30" customHeight="1" x14ac:dyDescent="0.2">
      <c r="B24" s="83" t="s">
        <v>595</v>
      </c>
      <c r="C24" s="84" t="s">
        <v>596</v>
      </c>
    </row>
    <row r="25" spans="2:3" ht="30" customHeight="1" x14ac:dyDescent="0.2">
      <c r="B25" s="83" t="s">
        <v>597</v>
      </c>
      <c r="C25" s="84" t="s">
        <v>598</v>
      </c>
    </row>
    <row r="26" spans="2:3" ht="30" customHeight="1" x14ac:dyDescent="0.2">
      <c r="B26" s="83" t="s">
        <v>599</v>
      </c>
      <c r="C26" s="84" t="s">
        <v>600</v>
      </c>
    </row>
    <row r="27" spans="2:3" ht="30" customHeight="1" x14ac:dyDescent="0.2">
      <c r="B27" s="83" t="s">
        <v>601</v>
      </c>
      <c r="C27" s="84" t="s">
        <v>602</v>
      </c>
    </row>
    <row r="28" spans="2:3" ht="30" customHeight="1" x14ac:dyDescent="0.2">
      <c r="B28" s="83" t="s">
        <v>603</v>
      </c>
      <c r="C28" s="84" t="s">
        <v>604</v>
      </c>
    </row>
    <row r="29" spans="2:3" ht="30" customHeight="1" x14ac:dyDescent="0.2">
      <c r="B29" s="83" t="s">
        <v>605</v>
      </c>
      <c r="C29" s="84" t="s">
        <v>606</v>
      </c>
    </row>
    <row r="30" spans="2:3" ht="27.75" customHeight="1" x14ac:dyDescent="0.2">
      <c r="B30" s="83" t="s">
        <v>607</v>
      </c>
      <c r="C30" s="84" t="s">
        <v>608</v>
      </c>
    </row>
    <row r="31" spans="2:3" ht="30" customHeight="1" x14ac:dyDescent="0.2">
      <c r="B31" s="83" t="s">
        <v>609</v>
      </c>
      <c r="C31" s="84" t="s">
        <v>610</v>
      </c>
    </row>
    <row r="32" spans="2:3" ht="15" customHeight="1" x14ac:dyDescent="0.2">
      <c r="B32" s="82" t="s">
        <v>611</v>
      </c>
      <c r="C32" s="82"/>
    </row>
    <row r="33" spans="2:3" ht="30" customHeight="1" x14ac:dyDescent="0.2">
      <c r="B33" s="83" t="s">
        <v>612</v>
      </c>
      <c r="C33" s="84" t="s">
        <v>613</v>
      </c>
    </row>
    <row r="34" spans="2:3" ht="30" customHeight="1" x14ac:dyDescent="0.2">
      <c r="B34" s="83" t="s">
        <v>614</v>
      </c>
      <c r="C34" s="84" t="s">
        <v>615</v>
      </c>
    </row>
    <row r="35" spans="2:3" ht="30" customHeight="1" x14ac:dyDescent="0.2">
      <c r="B35" s="83" t="s">
        <v>616</v>
      </c>
      <c r="C35" s="84" t="s">
        <v>617</v>
      </c>
    </row>
    <row r="36" spans="2:3" ht="30" customHeight="1" x14ac:dyDescent="0.2">
      <c r="B36" s="83" t="s">
        <v>618</v>
      </c>
      <c r="C36" s="84" t="s">
        <v>619</v>
      </c>
    </row>
    <row r="37" spans="2:3" ht="30" customHeight="1" x14ac:dyDescent="0.2">
      <c r="B37" s="83" t="s">
        <v>620</v>
      </c>
      <c r="C37" s="84" t="s">
        <v>621</v>
      </c>
    </row>
    <row r="38" spans="2:3" ht="30" customHeight="1" x14ac:dyDescent="0.2">
      <c r="B38" s="83" t="s">
        <v>216</v>
      </c>
      <c r="C38" s="84" t="s">
        <v>622</v>
      </c>
    </row>
    <row r="39" spans="2:3" ht="15" customHeight="1" x14ac:dyDescent="0.2">
      <c r="B39" s="82" t="s">
        <v>623</v>
      </c>
      <c r="C39" s="82"/>
    </row>
    <row r="40" spans="2:3" ht="30" customHeight="1" x14ac:dyDescent="0.2">
      <c r="B40" s="83" t="s">
        <v>20</v>
      </c>
      <c r="C40" s="84" t="s">
        <v>624</v>
      </c>
    </row>
    <row r="41" spans="2:3" ht="30" customHeight="1" x14ac:dyDescent="0.2">
      <c r="B41" s="83" t="s">
        <v>22</v>
      </c>
      <c r="C41" s="84" t="s">
        <v>625</v>
      </c>
    </row>
    <row r="42" spans="2:3" ht="27.75" customHeight="1" x14ac:dyDescent="0.2">
      <c r="B42" s="83" t="s">
        <v>24</v>
      </c>
      <c r="C42" s="84" t="s">
        <v>626</v>
      </c>
    </row>
    <row r="43" spans="2:3" ht="30" customHeight="1" x14ac:dyDescent="0.2">
      <c r="B43" s="83" t="s">
        <v>26</v>
      </c>
      <c r="C43" s="84" t="s">
        <v>627</v>
      </c>
    </row>
    <row r="44" spans="2:3" ht="30" customHeight="1" x14ac:dyDescent="0.2">
      <c r="B44" s="83" t="s">
        <v>28</v>
      </c>
      <c r="C44" s="84" t="s">
        <v>628</v>
      </c>
    </row>
  </sheetData>
  <mergeCells count="1">
    <mergeCell ref="B2:C2"/>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G45"/>
  <sheetViews>
    <sheetView zoomScaleNormal="100" workbookViewId="0">
      <pane xSplit="3" ySplit="6" topLeftCell="D7" activePane="bottomRight" state="frozen"/>
      <selection pane="topRight" activeCell="D1" sqref="D1"/>
      <selection pane="bottomLeft" activeCell="A7" sqref="A7"/>
      <selection pane="bottomRight" activeCell="D5" sqref="D5"/>
    </sheetView>
  </sheetViews>
  <sheetFormatPr baseColWidth="10" defaultColWidth="8.6640625" defaultRowHeight="15" x14ac:dyDescent="0.2"/>
  <cols>
    <col min="1" max="1" width="4" customWidth="1"/>
    <col min="2" max="2" width="42" customWidth="1"/>
    <col min="3" max="3" width="14" customWidth="1"/>
    <col min="4" max="4" width="17.83203125" customWidth="1"/>
    <col min="5" max="5" width="14.6640625" customWidth="1"/>
    <col min="6" max="6" width="15.1640625" customWidth="1"/>
    <col min="7" max="32" width="11" customWidth="1"/>
    <col min="33" max="33" width="14.33203125" customWidth="1"/>
  </cols>
  <sheetData>
    <row r="1" spans="2:33" ht="17.25" customHeight="1" x14ac:dyDescent="0.2">
      <c r="B1" s="11" t="s">
        <v>629</v>
      </c>
    </row>
    <row r="2" spans="2:33" ht="30" customHeight="1" x14ac:dyDescent="0.2">
      <c r="B2" s="85" t="s">
        <v>630</v>
      </c>
    </row>
    <row r="4" spans="2:33" ht="15" customHeight="1" x14ac:dyDescent="0.2">
      <c r="B4" s="86" t="s">
        <v>631</v>
      </c>
      <c r="D4" s="87" t="s">
        <v>567</v>
      </c>
      <c r="E4" s="88" t="s">
        <v>632</v>
      </c>
      <c r="F4" s="87" t="s">
        <v>633</v>
      </c>
      <c r="G4" s="88" t="s">
        <v>634</v>
      </c>
      <c r="H4" s="87" t="s">
        <v>635</v>
      </c>
      <c r="I4" s="89"/>
    </row>
    <row r="5" spans="2:33" ht="15" customHeight="1" x14ac:dyDescent="0.2">
      <c r="D5" s="90">
        <f>-NPV(Parameters!$C$9,D45:AG45)</f>
        <v>-23698512.424714629</v>
      </c>
      <c r="E5" s="90">
        <f>-NPV(Parameters!$C$9,D45:AG45)</f>
        <v>-23698512.424714629</v>
      </c>
      <c r="F5" s="90">
        <f>-D45</f>
        <v>-1164739</v>
      </c>
      <c r="G5" s="91">
        <f>0</f>
        <v>0</v>
      </c>
      <c r="H5" s="91">
        <f>0</f>
        <v>0</v>
      </c>
    </row>
    <row r="6" spans="2:33" ht="15" customHeight="1" x14ac:dyDescent="0.2">
      <c r="B6" s="48" t="s">
        <v>636</v>
      </c>
      <c r="C6" s="48" t="s">
        <v>637</v>
      </c>
      <c r="D6" s="79">
        <f>Parameters!$C$8+0</f>
        <v>2027</v>
      </c>
      <c r="E6" s="79">
        <f>Parameters!$C$8+1</f>
        <v>2028</v>
      </c>
      <c r="F6" s="79">
        <f>Parameters!$C$8+2</f>
        <v>2029</v>
      </c>
      <c r="G6" s="79">
        <f>Parameters!$C$8+3</f>
        <v>2030</v>
      </c>
      <c r="H6" s="79">
        <f>Parameters!$C$8+4</f>
        <v>2031</v>
      </c>
      <c r="I6" s="79">
        <f>Parameters!$C$8+5</f>
        <v>2032</v>
      </c>
      <c r="J6" s="79">
        <f>Parameters!$C$8+6</f>
        <v>2033</v>
      </c>
      <c r="K6" s="79">
        <f>Parameters!$C$8+7</f>
        <v>2034</v>
      </c>
      <c r="L6" s="79">
        <f>Parameters!$C$8+8</f>
        <v>2035</v>
      </c>
      <c r="M6" s="79">
        <f>Parameters!$C$8+9</f>
        <v>2036</v>
      </c>
      <c r="N6" s="79">
        <f>Parameters!$C$8+10</f>
        <v>2037</v>
      </c>
      <c r="O6" s="79">
        <f>Parameters!$C$8+11</f>
        <v>2038</v>
      </c>
      <c r="P6" s="79">
        <f>Parameters!$C$8+12</f>
        <v>2039</v>
      </c>
      <c r="Q6" s="79">
        <f>Parameters!$C$8+13</f>
        <v>2040</v>
      </c>
      <c r="R6" s="79">
        <f>Parameters!$C$8+14</f>
        <v>2041</v>
      </c>
      <c r="S6" s="79">
        <f>Parameters!$C$8+15</f>
        <v>2042</v>
      </c>
      <c r="T6" s="79">
        <f>Parameters!$C$8+16</f>
        <v>2043</v>
      </c>
      <c r="U6" s="79">
        <f>Parameters!$C$8+17</f>
        <v>2044</v>
      </c>
      <c r="V6" s="79">
        <f>Parameters!$C$8+18</f>
        <v>2045</v>
      </c>
      <c r="W6" s="79">
        <f>Parameters!$C$8+19</f>
        <v>2046</v>
      </c>
      <c r="X6" s="79">
        <f>Parameters!$C$8+20</f>
        <v>2047</v>
      </c>
      <c r="Y6" s="79">
        <f>Parameters!$C$8+21</f>
        <v>2048</v>
      </c>
      <c r="Z6" s="79">
        <f>Parameters!$C$8+22</f>
        <v>2049</v>
      </c>
      <c r="AA6" s="79">
        <f>Parameters!$C$8+23</f>
        <v>2050</v>
      </c>
      <c r="AB6" s="79">
        <f>Parameters!$C$8+24</f>
        <v>2051</v>
      </c>
      <c r="AC6" s="79">
        <f>Parameters!$C$8+25</f>
        <v>2052</v>
      </c>
      <c r="AD6" s="79">
        <f>Parameters!$C$8+26</f>
        <v>2053</v>
      </c>
      <c r="AE6" s="79">
        <f>Parameters!$C$8+27</f>
        <v>2054</v>
      </c>
      <c r="AF6" s="79">
        <f>Parameters!$C$8+28</f>
        <v>2055</v>
      </c>
      <c r="AG6" s="79">
        <f>Parameters!$C$8+29</f>
        <v>2056</v>
      </c>
    </row>
    <row r="7" spans="2:33" ht="15" customHeight="1" x14ac:dyDescent="0.2">
      <c r="B7" s="16" t="s">
        <v>638</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2:33" ht="15" customHeight="1" x14ac:dyDescent="0.2">
      <c r="B8" t="s">
        <v>639</v>
      </c>
      <c r="C8" s="19" t="s">
        <v>640</v>
      </c>
      <c r="D8" s="18">
        <f>Parameters!$C$130</f>
        <v>90000</v>
      </c>
      <c r="E8" s="81">
        <v>0</v>
      </c>
      <c r="F8" s="81">
        <v>0</v>
      </c>
      <c r="G8" s="81">
        <v>0</v>
      </c>
      <c r="H8" s="81">
        <v>0</v>
      </c>
      <c r="I8" s="81">
        <v>0</v>
      </c>
      <c r="J8" s="81">
        <v>0</v>
      </c>
      <c r="K8" s="81">
        <v>0</v>
      </c>
      <c r="L8" s="81">
        <v>0</v>
      </c>
      <c r="M8" s="81">
        <v>0</v>
      </c>
      <c r="N8" s="81">
        <v>0</v>
      </c>
      <c r="O8" s="81">
        <v>0</v>
      </c>
      <c r="P8" s="81">
        <v>0</v>
      </c>
      <c r="Q8" s="81">
        <v>0</v>
      </c>
      <c r="R8" s="81">
        <v>0</v>
      </c>
      <c r="S8" s="81">
        <v>0</v>
      </c>
      <c r="T8" s="81">
        <v>0</v>
      </c>
      <c r="U8" s="81">
        <v>0</v>
      </c>
      <c r="V8" s="81">
        <v>0</v>
      </c>
      <c r="W8" s="81">
        <v>0</v>
      </c>
      <c r="X8" s="81">
        <v>0</v>
      </c>
      <c r="Y8" s="81">
        <v>0</v>
      </c>
      <c r="Z8" s="81">
        <v>0</v>
      </c>
      <c r="AA8" s="81">
        <v>0</v>
      </c>
      <c r="AB8" s="81">
        <v>0</v>
      </c>
      <c r="AC8" s="81">
        <v>0</v>
      </c>
      <c r="AD8" s="81">
        <v>0</v>
      </c>
      <c r="AE8" s="81">
        <v>0</v>
      </c>
      <c r="AF8" s="81">
        <v>0</v>
      </c>
      <c r="AG8" s="81">
        <v>0</v>
      </c>
    </row>
    <row r="9" spans="2:33" ht="15" customHeight="1" x14ac:dyDescent="0.2">
      <c r="B9" t="s">
        <v>641</v>
      </c>
      <c r="C9" s="19" t="s">
        <v>640</v>
      </c>
      <c r="D9" s="18">
        <f>Parameters!$C$131</f>
        <v>30000</v>
      </c>
      <c r="E9" s="81">
        <v>0</v>
      </c>
      <c r="F9" s="81">
        <v>0</v>
      </c>
      <c r="G9" s="81">
        <v>0</v>
      </c>
      <c r="H9" s="81">
        <v>0</v>
      </c>
      <c r="I9" s="81">
        <v>0</v>
      </c>
      <c r="J9" s="81">
        <v>0</v>
      </c>
      <c r="K9" s="81">
        <v>0</v>
      </c>
      <c r="L9" s="81">
        <v>0</v>
      </c>
      <c r="M9" s="81">
        <v>0</v>
      </c>
      <c r="N9" s="81">
        <v>0</v>
      </c>
      <c r="O9" s="81">
        <v>0</v>
      </c>
      <c r="P9" s="81">
        <v>0</v>
      </c>
      <c r="Q9" s="81">
        <v>0</v>
      </c>
      <c r="R9" s="81">
        <v>0</v>
      </c>
      <c r="S9" s="81">
        <v>0</v>
      </c>
      <c r="T9" s="81">
        <v>0</v>
      </c>
      <c r="U9" s="81">
        <v>0</v>
      </c>
      <c r="V9" s="81">
        <v>0</v>
      </c>
      <c r="W9" s="81">
        <v>0</v>
      </c>
      <c r="X9" s="81">
        <v>0</v>
      </c>
      <c r="Y9" s="81">
        <v>0</v>
      </c>
      <c r="Z9" s="81">
        <v>0</v>
      </c>
      <c r="AA9" s="81">
        <v>0</v>
      </c>
      <c r="AB9" s="81">
        <v>0</v>
      </c>
      <c r="AC9" s="81">
        <v>0</v>
      </c>
      <c r="AD9" s="81">
        <v>0</v>
      </c>
      <c r="AE9" s="81">
        <v>0</v>
      </c>
      <c r="AF9" s="81">
        <v>0</v>
      </c>
      <c r="AG9" s="81">
        <v>0</v>
      </c>
    </row>
    <row r="10" spans="2:33" ht="15" customHeight="1" x14ac:dyDescent="0.2">
      <c r="B10" t="s">
        <v>642</v>
      </c>
      <c r="C10" s="19" t="s">
        <v>640</v>
      </c>
      <c r="D10" s="18">
        <f>Parameters!$C$134</f>
        <v>30000</v>
      </c>
      <c r="E10" s="81">
        <v>0</v>
      </c>
      <c r="F10" s="81">
        <v>0</v>
      </c>
      <c r="G10" s="81">
        <v>0</v>
      </c>
      <c r="H10" s="81">
        <v>0</v>
      </c>
      <c r="I10" s="81">
        <v>0</v>
      </c>
      <c r="J10" s="81">
        <v>0</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1">
        <v>0</v>
      </c>
      <c r="AC10" s="81">
        <v>0</v>
      </c>
      <c r="AD10" s="81">
        <v>0</v>
      </c>
      <c r="AE10" s="81">
        <v>0</v>
      </c>
      <c r="AF10" s="81">
        <v>0</v>
      </c>
      <c r="AG10" s="81">
        <v>0</v>
      </c>
    </row>
    <row r="11" spans="2:33" ht="15" customHeight="1" x14ac:dyDescent="0.2">
      <c r="B11" t="s">
        <v>643</v>
      </c>
      <c r="C11" s="19" t="s">
        <v>640</v>
      </c>
      <c r="D11" s="18">
        <f>Parameters!$C$135</f>
        <v>60000</v>
      </c>
      <c r="E11" s="81">
        <v>0</v>
      </c>
      <c r="F11" s="81">
        <v>0</v>
      </c>
      <c r="G11" s="81">
        <v>0</v>
      </c>
      <c r="H11" s="81">
        <v>0</v>
      </c>
      <c r="I11" s="81">
        <v>0</v>
      </c>
      <c r="J11" s="81">
        <v>0</v>
      </c>
      <c r="K11" s="81">
        <v>0</v>
      </c>
      <c r="L11" s="81">
        <v>0</v>
      </c>
      <c r="M11" s="81">
        <v>0</v>
      </c>
      <c r="N11" s="81">
        <v>0</v>
      </c>
      <c r="O11" s="81">
        <v>0</v>
      </c>
      <c r="P11" s="81">
        <v>0</v>
      </c>
      <c r="Q11" s="81">
        <v>0</v>
      </c>
      <c r="R11" s="81">
        <v>0</v>
      </c>
      <c r="S11" s="81">
        <v>0</v>
      </c>
      <c r="T11" s="81">
        <v>0</v>
      </c>
      <c r="U11" s="81">
        <v>0</v>
      </c>
      <c r="V11" s="81">
        <v>0</v>
      </c>
      <c r="W11" s="81">
        <v>0</v>
      </c>
      <c r="X11" s="81">
        <v>0</v>
      </c>
      <c r="Y11" s="81">
        <v>0</v>
      </c>
      <c r="Z11" s="81">
        <v>0</v>
      </c>
      <c r="AA11" s="81">
        <v>0</v>
      </c>
      <c r="AB11" s="81">
        <v>0</v>
      </c>
      <c r="AC11" s="81">
        <v>0</v>
      </c>
      <c r="AD11" s="81">
        <v>0</v>
      </c>
      <c r="AE11" s="81">
        <v>0</v>
      </c>
      <c r="AF11" s="81">
        <v>0</v>
      </c>
      <c r="AG11" s="81">
        <v>0</v>
      </c>
    </row>
    <row r="12" spans="2:33" ht="15" customHeight="1" x14ac:dyDescent="0.2">
      <c r="B12" t="s">
        <v>644</v>
      </c>
      <c r="C12" s="19" t="s">
        <v>640</v>
      </c>
      <c r="D12" s="25">
        <f>SUM(D8:D11)*Parameters!$C$137</f>
        <v>42000</v>
      </c>
      <c r="E12" s="81">
        <v>0</v>
      </c>
      <c r="F12" s="81">
        <v>0</v>
      </c>
      <c r="G12" s="81">
        <v>0</v>
      </c>
      <c r="H12" s="81">
        <v>0</v>
      </c>
      <c r="I12" s="81">
        <v>0</v>
      </c>
      <c r="J12" s="81">
        <v>0</v>
      </c>
      <c r="K12" s="81">
        <v>0</v>
      </c>
      <c r="L12" s="81">
        <v>0</v>
      </c>
      <c r="M12" s="81">
        <v>0</v>
      </c>
      <c r="N12" s="81">
        <v>0</v>
      </c>
      <c r="O12" s="81">
        <v>0</v>
      </c>
      <c r="P12" s="81">
        <v>0</v>
      </c>
      <c r="Q12" s="81">
        <v>0</v>
      </c>
      <c r="R12" s="81">
        <v>0</v>
      </c>
      <c r="S12" s="81">
        <v>0</v>
      </c>
      <c r="T12" s="81">
        <v>0</v>
      </c>
      <c r="U12" s="81">
        <v>0</v>
      </c>
      <c r="V12" s="81">
        <v>0</v>
      </c>
      <c r="W12" s="81">
        <v>0</v>
      </c>
      <c r="X12" s="81">
        <v>0</v>
      </c>
      <c r="Y12" s="81">
        <v>0</v>
      </c>
      <c r="Z12" s="81">
        <v>0</v>
      </c>
      <c r="AA12" s="81">
        <v>0</v>
      </c>
      <c r="AB12" s="81">
        <v>0</v>
      </c>
      <c r="AC12" s="81">
        <v>0</v>
      </c>
      <c r="AD12" s="81">
        <v>0</v>
      </c>
      <c r="AE12" s="81">
        <v>0</v>
      </c>
      <c r="AF12" s="81">
        <v>0</v>
      </c>
      <c r="AG12" s="81">
        <v>0</v>
      </c>
    </row>
    <row r="13" spans="2:33" ht="15" customHeight="1" x14ac:dyDescent="0.2">
      <c r="B13" t="s">
        <v>645</v>
      </c>
      <c r="C13" s="19" t="s">
        <v>640</v>
      </c>
      <c r="D13" s="18">
        <f>Parameters!$C$133</f>
        <v>10000</v>
      </c>
      <c r="E13" s="81">
        <v>0</v>
      </c>
      <c r="F13" s="81">
        <v>0</v>
      </c>
      <c r="G13" s="81">
        <v>0</v>
      </c>
      <c r="H13" s="81">
        <v>0</v>
      </c>
      <c r="I13" s="81">
        <v>0</v>
      </c>
      <c r="J13" s="81">
        <v>0</v>
      </c>
      <c r="K13" s="81">
        <v>0</v>
      </c>
      <c r="L13" s="81">
        <v>0</v>
      </c>
      <c r="M13" s="81">
        <v>0</v>
      </c>
      <c r="N13" s="81">
        <v>0</v>
      </c>
      <c r="O13" s="81">
        <v>0</v>
      </c>
      <c r="P13" s="81">
        <v>0</v>
      </c>
      <c r="Q13" s="81">
        <v>0</v>
      </c>
      <c r="R13" s="81">
        <v>0</v>
      </c>
      <c r="S13" s="81">
        <v>0</v>
      </c>
      <c r="T13" s="81">
        <v>0</v>
      </c>
      <c r="U13" s="81">
        <v>0</v>
      </c>
      <c r="V13" s="81">
        <v>0</v>
      </c>
      <c r="W13" s="81">
        <v>0</v>
      </c>
      <c r="X13" s="81">
        <v>0</v>
      </c>
      <c r="Y13" s="81">
        <v>0</v>
      </c>
      <c r="Z13" s="81">
        <v>0</v>
      </c>
      <c r="AA13" s="81">
        <v>0</v>
      </c>
      <c r="AB13" s="81">
        <v>0</v>
      </c>
      <c r="AC13" s="81">
        <v>0</v>
      </c>
      <c r="AD13" s="81">
        <v>0</v>
      </c>
      <c r="AE13" s="81">
        <v>0</v>
      </c>
      <c r="AF13" s="81">
        <v>0</v>
      </c>
      <c r="AG13" s="81">
        <v>0</v>
      </c>
    </row>
    <row r="14" spans="2:33" ht="15" customHeight="1" x14ac:dyDescent="0.2">
      <c r="B14" t="s">
        <v>646</v>
      </c>
      <c r="C14" s="19" t="s">
        <v>640</v>
      </c>
      <c r="D14" s="18">
        <f>Parameters!$C$132</f>
        <v>450000</v>
      </c>
      <c r="E14" s="81">
        <v>0</v>
      </c>
      <c r="F14" s="81">
        <v>0</v>
      </c>
      <c r="G14" s="81">
        <v>0</v>
      </c>
      <c r="H14" s="81">
        <v>0</v>
      </c>
      <c r="I14" s="81">
        <v>0</v>
      </c>
      <c r="J14" s="81">
        <v>0</v>
      </c>
      <c r="K14" s="81">
        <v>0</v>
      </c>
      <c r="L14" s="81">
        <v>0</v>
      </c>
      <c r="M14" s="81">
        <v>0</v>
      </c>
      <c r="N14" s="81">
        <v>0</v>
      </c>
      <c r="O14" s="81">
        <v>0</v>
      </c>
      <c r="P14" s="81">
        <v>0</v>
      </c>
      <c r="Q14" s="81">
        <v>0</v>
      </c>
      <c r="R14" s="81">
        <v>0</v>
      </c>
      <c r="S14" s="81">
        <v>0</v>
      </c>
      <c r="T14" s="81">
        <v>0</v>
      </c>
      <c r="U14" s="81">
        <v>0</v>
      </c>
      <c r="V14" s="81">
        <v>0</v>
      </c>
      <c r="W14" s="81">
        <v>0</v>
      </c>
      <c r="X14" s="81">
        <v>0</v>
      </c>
      <c r="Y14" s="81">
        <v>0</v>
      </c>
      <c r="Z14" s="81">
        <v>0</v>
      </c>
      <c r="AA14" s="81">
        <v>0</v>
      </c>
      <c r="AB14" s="81">
        <v>0</v>
      </c>
      <c r="AC14" s="81">
        <v>0</v>
      </c>
      <c r="AD14" s="81">
        <v>0</v>
      </c>
      <c r="AE14" s="81">
        <v>0</v>
      </c>
      <c r="AF14" s="81">
        <v>0</v>
      </c>
      <c r="AG14" s="81">
        <v>0</v>
      </c>
    </row>
    <row r="15" spans="2:33" ht="15" customHeight="1" x14ac:dyDescent="0.2">
      <c r="B15" t="s">
        <v>647</v>
      </c>
      <c r="C15" s="19" t="s">
        <v>640</v>
      </c>
      <c r="D15" s="18">
        <f>Parameters!$C$136</f>
        <v>50000</v>
      </c>
      <c r="E15" s="81">
        <v>0</v>
      </c>
      <c r="F15" s="81">
        <v>0</v>
      </c>
      <c r="G15" s="81">
        <v>0</v>
      </c>
      <c r="H15" s="81">
        <v>0</v>
      </c>
      <c r="I15" s="81">
        <v>0</v>
      </c>
      <c r="J15" s="81">
        <v>0</v>
      </c>
      <c r="K15" s="81">
        <v>0</v>
      </c>
      <c r="L15" s="81">
        <v>0</v>
      </c>
      <c r="M15" s="81">
        <v>0</v>
      </c>
      <c r="N15" s="81">
        <v>0</v>
      </c>
      <c r="O15" s="81">
        <v>0</v>
      </c>
      <c r="P15" s="81">
        <v>0</v>
      </c>
      <c r="Q15" s="81">
        <v>0</v>
      </c>
      <c r="R15" s="81">
        <v>0</v>
      </c>
      <c r="S15" s="81">
        <v>0</v>
      </c>
      <c r="T15" s="81">
        <v>0</v>
      </c>
      <c r="U15" s="81">
        <v>0</v>
      </c>
      <c r="V15" s="81">
        <v>0</v>
      </c>
      <c r="W15" s="81">
        <v>0</v>
      </c>
      <c r="X15" s="81">
        <v>0</v>
      </c>
      <c r="Y15" s="81">
        <v>0</v>
      </c>
      <c r="Z15" s="81">
        <v>0</v>
      </c>
      <c r="AA15" s="81">
        <v>0</v>
      </c>
      <c r="AB15" s="81">
        <v>0</v>
      </c>
      <c r="AC15" s="81">
        <v>0</v>
      </c>
      <c r="AD15" s="81">
        <v>0</v>
      </c>
      <c r="AE15" s="81">
        <v>0</v>
      </c>
      <c r="AF15" s="81">
        <v>0</v>
      </c>
      <c r="AG15" s="81">
        <v>0</v>
      </c>
    </row>
    <row r="16" spans="2:33" ht="15" customHeight="1" x14ac:dyDescent="0.2">
      <c r="B16" s="63" t="s">
        <v>648</v>
      </c>
      <c r="C16" s="63"/>
      <c r="D16" s="64">
        <f>SUM(D8:D15)</f>
        <v>762000</v>
      </c>
      <c r="E16" s="92">
        <v>0</v>
      </c>
      <c r="F16" s="92">
        <v>0</v>
      </c>
      <c r="G16" s="92">
        <v>0</v>
      </c>
      <c r="H16" s="92">
        <v>0</v>
      </c>
      <c r="I16" s="92">
        <v>0</v>
      </c>
      <c r="J16" s="92">
        <v>0</v>
      </c>
      <c r="K16" s="92">
        <v>0</v>
      </c>
      <c r="L16" s="92">
        <v>0</v>
      </c>
      <c r="M16" s="92">
        <v>0</v>
      </c>
      <c r="N16" s="92">
        <v>0</v>
      </c>
      <c r="O16" s="92">
        <v>0</v>
      </c>
      <c r="P16" s="92">
        <v>0</v>
      </c>
      <c r="Q16" s="92">
        <v>0</v>
      </c>
      <c r="R16" s="92">
        <v>0</v>
      </c>
      <c r="S16" s="92">
        <v>0</v>
      </c>
      <c r="T16" s="92">
        <v>0</v>
      </c>
      <c r="U16" s="92">
        <v>0</v>
      </c>
      <c r="V16" s="92">
        <v>0</v>
      </c>
      <c r="W16" s="92">
        <v>0</v>
      </c>
      <c r="X16" s="92">
        <v>0</v>
      </c>
      <c r="Y16" s="92">
        <v>0</v>
      </c>
      <c r="Z16" s="92">
        <v>0</v>
      </c>
      <c r="AA16" s="92">
        <v>0</v>
      </c>
      <c r="AB16" s="92">
        <v>0</v>
      </c>
      <c r="AC16" s="92">
        <v>0</v>
      </c>
      <c r="AD16" s="92">
        <v>0</v>
      </c>
      <c r="AE16" s="92">
        <v>0</v>
      </c>
      <c r="AF16" s="92">
        <v>0</v>
      </c>
      <c r="AG16" s="92">
        <v>0</v>
      </c>
    </row>
    <row r="18" spans="2:33" ht="15" customHeight="1" x14ac:dyDescent="0.2">
      <c r="B18" s="16" t="s">
        <v>649</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2:33" ht="15" customHeight="1" x14ac:dyDescent="0.2">
      <c r="B19" t="s">
        <v>343</v>
      </c>
      <c r="D19" s="25">
        <f>IF(1=5, Parameters!$C$67*(1+Parameters!$C$11)^4, 0)</f>
        <v>0</v>
      </c>
      <c r="E19" s="25">
        <f>IF(2=5, Parameters!$C$67*(1+Parameters!$C$11)^4, 0)</f>
        <v>0</v>
      </c>
      <c r="F19" s="25">
        <f>IF(3=5, Parameters!$C$67*(1+Parameters!$C$11)^4, 0)</f>
        <v>0</v>
      </c>
      <c r="G19" s="25">
        <f>IF(4=5, Parameters!$C$67*(1+Parameters!$C$11)^4, 0)</f>
        <v>0</v>
      </c>
      <c r="H19" s="25">
        <f>IF(5=5, Parameters!$C$67*(1+Parameters!$C$11)^4, 0)</f>
        <v>300000</v>
      </c>
      <c r="I19" s="25">
        <f>IF(6=5, Parameters!$C$67*(1+Parameters!$C$11)^4, 0)</f>
        <v>0</v>
      </c>
      <c r="J19" s="25">
        <f>IF(7=5, Parameters!$C$67*(1+Parameters!$C$11)^4, 0)</f>
        <v>0</v>
      </c>
      <c r="K19" s="25">
        <f>IF(8=5, Parameters!$C$67*(1+Parameters!$C$11)^4, 0)</f>
        <v>0</v>
      </c>
      <c r="L19" s="25">
        <f>IF(9=5, Parameters!$C$67*(1+Parameters!$C$11)^4, 0)</f>
        <v>0</v>
      </c>
      <c r="M19" s="25">
        <f>IF(10=5, Parameters!$C$67*(1+Parameters!$C$11)^4, 0)</f>
        <v>0</v>
      </c>
      <c r="N19" s="25">
        <f>IF(11=5, Parameters!$C$67*(1+Parameters!$C$11)^4, 0)</f>
        <v>0</v>
      </c>
      <c r="O19" s="25">
        <f>IF(12=5, Parameters!$C$67*(1+Parameters!$C$11)^4, 0)</f>
        <v>0</v>
      </c>
      <c r="P19" s="25">
        <f>IF(13=5, Parameters!$C$67*(1+Parameters!$C$11)^4, 0)</f>
        <v>0</v>
      </c>
      <c r="Q19" s="25">
        <f>IF(14=5, Parameters!$C$67*(1+Parameters!$C$11)^4, 0)</f>
        <v>0</v>
      </c>
      <c r="R19" s="25">
        <f>IF(15=5, Parameters!$C$67*(1+Parameters!$C$11)^4, 0)</f>
        <v>0</v>
      </c>
      <c r="S19" s="25">
        <f>IF(16=5, Parameters!$C$67*(1+Parameters!$C$11)^4, 0)</f>
        <v>0</v>
      </c>
      <c r="T19" s="25">
        <f>IF(17=5, Parameters!$C$67*(1+Parameters!$C$11)^4, 0)</f>
        <v>0</v>
      </c>
      <c r="U19" s="25">
        <f>IF(18=5, Parameters!$C$67*(1+Parameters!$C$11)^4, 0)</f>
        <v>0</v>
      </c>
      <c r="V19" s="25">
        <f>IF(19=5, Parameters!$C$67*(1+Parameters!$C$11)^4, 0)</f>
        <v>0</v>
      </c>
      <c r="W19" s="25">
        <f>IF(20=5, Parameters!$C$67*(1+Parameters!$C$11)^4, 0)</f>
        <v>0</v>
      </c>
      <c r="X19" s="25">
        <f>IF(21=5, Parameters!$C$67*(1+Parameters!$C$11)^4, 0)</f>
        <v>0</v>
      </c>
      <c r="Y19" s="25">
        <f>IF(22=5, Parameters!$C$67*(1+Parameters!$C$11)^4, 0)</f>
        <v>0</v>
      </c>
      <c r="Z19" s="25">
        <f>IF(23=5, Parameters!$C$67*(1+Parameters!$C$11)^4, 0)</f>
        <v>0</v>
      </c>
      <c r="AA19" s="25">
        <f>IF(24=5, Parameters!$C$67*(1+Parameters!$C$11)^4, 0)</f>
        <v>0</v>
      </c>
      <c r="AB19" s="25">
        <f>IF(25=5, Parameters!$C$67*(1+Parameters!$C$11)^4, 0)</f>
        <v>0</v>
      </c>
      <c r="AC19" s="25">
        <f>IF(26=5, Parameters!$C$67*(1+Parameters!$C$11)^4, 0)</f>
        <v>0</v>
      </c>
      <c r="AD19" s="25">
        <f>IF(27=5, Parameters!$C$67*(1+Parameters!$C$11)^4, 0)</f>
        <v>0</v>
      </c>
      <c r="AE19" s="25">
        <f>IF(28=5, Parameters!$C$67*(1+Parameters!$C$11)^4, 0)</f>
        <v>0</v>
      </c>
      <c r="AF19" s="25">
        <f>IF(29=5, Parameters!$C$67*(1+Parameters!$C$11)^4, 0)</f>
        <v>0</v>
      </c>
      <c r="AG19" s="25">
        <f>IF(30=5, Parameters!$C$67*(1+Parameters!$C$11)^4, 0)</f>
        <v>0</v>
      </c>
    </row>
    <row r="20" spans="2:33" ht="15" customHeight="1" x14ac:dyDescent="0.2">
      <c r="B20" t="s">
        <v>346</v>
      </c>
      <c r="D20" s="25">
        <f>IF(1=8, Parameters!$C$68*(1+Parameters!$C$11)^7, 0)</f>
        <v>0</v>
      </c>
      <c r="E20" s="25">
        <f>IF(2=8, Parameters!$C$68*(1+Parameters!$C$11)^7, 0)</f>
        <v>0</v>
      </c>
      <c r="F20" s="25">
        <f>IF(3=8, Parameters!$C$68*(1+Parameters!$C$11)^7, 0)</f>
        <v>0</v>
      </c>
      <c r="G20" s="25">
        <f>IF(4=8, Parameters!$C$68*(1+Parameters!$C$11)^7, 0)</f>
        <v>0</v>
      </c>
      <c r="H20" s="25">
        <f>IF(5=8, Parameters!$C$68*(1+Parameters!$C$11)^7, 0)</f>
        <v>0</v>
      </c>
      <c r="I20" s="25">
        <f>IF(6=8, Parameters!$C$68*(1+Parameters!$C$11)^7, 0)</f>
        <v>0</v>
      </c>
      <c r="J20" s="25">
        <f>IF(7=8, Parameters!$C$68*(1+Parameters!$C$11)^7, 0)</f>
        <v>0</v>
      </c>
      <c r="K20" s="25">
        <f>IF(8=8, Parameters!$C$68*(1+Parameters!$C$11)^7, 0)</f>
        <v>400000</v>
      </c>
      <c r="L20" s="25">
        <f>IF(9=8, Parameters!$C$68*(1+Parameters!$C$11)^7, 0)</f>
        <v>0</v>
      </c>
      <c r="M20" s="25">
        <f>IF(10=8, Parameters!$C$68*(1+Parameters!$C$11)^7, 0)</f>
        <v>0</v>
      </c>
      <c r="N20" s="25">
        <f>IF(11=8, Parameters!$C$68*(1+Parameters!$C$11)^7, 0)</f>
        <v>0</v>
      </c>
      <c r="O20" s="25">
        <f>IF(12=8, Parameters!$C$68*(1+Parameters!$C$11)^7, 0)</f>
        <v>0</v>
      </c>
      <c r="P20" s="25">
        <f>IF(13=8, Parameters!$C$68*(1+Parameters!$C$11)^7, 0)</f>
        <v>0</v>
      </c>
      <c r="Q20" s="25">
        <f>IF(14=8, Parameters!$C$68*(1+Parameters!$C$11)^7, 0)</f>
        <v>0</v>
      </c>
      <c r="R20" s="25">
        <f>IF(15=8, Parameters!$C$68*(1+Parameters!$C$11)^7, 0)</f>
        <v>0</v>
      </c>
      <c r="S20" s="25">
        <f>IF(16=8, Parameters!$C$68*(1+Parameters!$C$11)^7, 0)</f>
        <v>0</v>
      </c>
      <c r="T20" s="25">
        <f>IF(17=8, Parameters!$C$68*(1+Parameters!$C$11)^7, 0)</f>
        <v>0</v>
      </c>
      <c r="U20" s="25">
        <f>IF(18=8, Parameters!$C$68*(1+Parameters!$C$11)^7, 0)</f>
        <v>0</v>
      </c>
      <c r="V20" s="25">
        <f>IF(19=8, Parameters!$C$68*(1+Parameters!$C$11)^7, 0)</f>
        <v>0</v>
      </c>
      <c r="W20" s="25">
        <f>IF(20=8, Parameters!$C$68*(1+Parameters!$C$11)^7, 0)</f>
        <v>0</v>
      </c>
      <c r="X20" s="25">
        <f>IF(21=8, Parameters!$C$68*(1+Parameters!$C$11)^7, 0)</f>
        <v>0</v>
      </c>
      <c r="Y20" s="25">
        <f>IF(22=8, Parameters!$C$68*(1+Parameters!$C$11)^7, 0)</f>
        <v>0</v>
      </c>
      <c r="Z20" s="25">
        <f>IF(23=8, Parameters!$C$68*(1+Parameters!$C$11)^7, 0)</f>
        <v>0</v>
      </c>
      <c r="AA20" s="25">
        <f>IF(24=8, Parameters!$C$68*(1+Parameters!$C$11)^7, 0)</f>
        <v>0</v>
      </c>
      <c r="AB20" s="25">
        <f>IF(25=8, Parameters!$C$68*(1+Parameters!$C$11)^7, 0)</f>
        <v>0</v>
      </c>
      <c r="AC20" s="25">
        <f>IF(26=8, Parameters!$C$68*(1+Parameters!$C$11)^7, 0)</f>
        <v>0</v>
      </c>
      <c r="AD20" s="25">
        <f>IF(27=8, Parameters!$C$68*(1+Parameters!$C$11)^7, 0)</f>
        <v>0</v>
      </c>
      <c r="AE20" s="25">
        <f>IF(28=8, Parameters!$C$68*(1+Parameters!$C$11)^7, 0)</f>
        <v>0</v>
      </c>
      <c r="AF20" s="25">
        <f>IF(29=8, Parameters!$C$68*(1+Parameters!$C$11)^7, 0)</f>
        <v>0</v>
      </c>
      <c r="AG20" s="25">
        <f>IF(30=8, Parameters!$C$68*(1+Parameters!$C$11)^7, 0)</f>
        <v>0</v>
      </c>
    </row>
    <row r="21" spans="2:33" ht="15" customHeight="1" x14ac:dyDescent="0.2">
      <c r="B21" t="s">
        <v>348</v>
      </c>
      <c r="D21" s="25">
        <f>IF(1=10, Parameters!$C$69*(1+Parameters!$C$11)^9, 0)</f>
        <v>0</v>
      </c>
      <c r="E21" s="25">
        <f>IF(2=10, Parameters!$C$69*(1+Parameters!$C$11)^9, 0)</f>
        <v>0</v>
      </c>
      <c r="F21" s="25">
        <f>IF(3=10, Parameters!$C$69*(1+Parameters!$C$11)^9, 0)</f>
        <v>0</v>
      </c>
      <c r="G21" s="25">
        <f>IF(4=10, Parameters!$C$69*(1+Parameters!$C$11)^9, 0)</f>
        <v>0</v>
      </c>
      <c r="H21" s="25">
        <f>IF(5=10, Parameters!$C$69*(1+Parameters!$C$11)^9, 0)</f>
        <v>0</v>
      </c>
      <c r="I21" s="25">
        <f>IF(6=10, Parameters!$C$69*(1+Parameters!$C$11)^9, 0)</f>
        <v>0</v>
      </c>
      <c r="J21" s="25">
        <f>IF(7=10, Parameters!$C$69*(1+Parameters!$C$11)^9, 0)</f>
        <v>0</v>
      </c>
      <c r="K21" s="25">
        <f>IF(8=10, Parameters!$C$69*(1+Parameters!$C$11)^9, 0)</f>
        <v>0</v>
      </c>
      <c r="L21" s="25">
        <f>IF(9=10, Parameters!$C$69*(1+Parameters!$C$11)^9, 0)</f>
        <v>0</v>
      </c>
      <c r="M21" s="25">
        <f>IF(10=10, Parameters!$C$69*(1+Parameters!$C$11)^9, 0)</f>
        <v>200000</v>
      </c>
      <c r="N21" s="25">
        <f>IF(11=10, Parameters!$C$69*(1+Parameters!$C$11)^9, 0)</f>
        <v>0</v>
      </c>
      <c r="O21" s="25">
        <f>IF(12=10, Parameters!$C$69*(1+Parameters!$C$11)^9, 0)</f>
        <v>0</v>
      </c>
      <c r="P21" s="25">
        <f>IF(13=10, Parameters!$C$69*(1+Parameters!$C$11)^9, 0)</f>
        <v>0</v>
      </c>
      <c r="Q21" s="25">
        <f>IF(14=10, Parameters!$C$69*(1+Parameters!$C$11)^9, 0)</f>
        <v>0</v>
      </c>
      <c r="R21" s="25">
        <f>IF(15=10, Parameters!$C$69*(1+Parameters!$C$11)^9, 0)</f>
        <v>0</v>
      </c>
      <c r="S21" s="25">
        <f>IF(16=10, Parameters!$C$69*(1+Parameters!$C$11)^9, 0)</f>
        <v>0</v>
      </c>
      <c r="T21" s="25">
        <f>IF(17=10, Parameters!$C$69*(1+Parameters!$C$11)^9, 0)</f>
        <v>0</v>
      </c>
      <c r="U21" s="25">
        <f>IF(18=10, Parameters!$C$69*(1+Parameters!$C$11)^9, 0)</f>
        <v>0</v>
      </c>
      <c r="V21" s="25">
        <f>IF(19=10, Parameters!$C$69*(1+Parameters!$C$11)^9, 0)</f>
        <v>0</v>
      </c>
      <c r="W21" s="25">
        <f>IF(20=10, Parameters!$C$69*(1+Parameters!$C$11)^9, 0)</f>
        <v>0</v>
      </c>
      <c r="X21" s="25">
        <f>IF(21=10, Parameters!$C$69*(1+Parameters!$C$11)^9, 0)</f>
        <v>0</v>
      </c>
      <c r="Y21" s="25">
        <f>IF(22=10, Parameters!$C$69*(1+Parameters!$C$11)^9, 0)</f>
        <v>0</v>
      </c>
      <c r="Z21" s="25">
        <f>IF(23=10, Parameters!$C$69*(1+Parameters!$C$11)^9, 0)</f>
        <v>0</v>
      </c>
      <c r="AA21" s="25">
        <f>IF(24=10, Parameters!$C$69*(1+Parameters!$C$11)^9, 0)</f>
        <v>0</v>
      </c>
      <c r="AB21" s="25">
        <f>IF(25=10, Parameters!$C$69*(1+Parameters!$C$11)^9, 0)</f>
        <v>0</v>
      </c>
      <c r="AC21" s="25">
        <f>IF(26=10, Parameters!$C$69*(1+Parameters!$C$11)^9, 0)</f>
        <v>0</v>
      </c>
      <c r="AD21" s="25">
        <f>IF(27=10, Parameters!$C$69*(1+Parameters!$C$11)^9, 0)</f>
        <v>0</v>
      </c>
      <c r="AE21" s="25">
        <f>IF(28=10, Parameters!$C$69*(1+Parameters!$C$11)^9, 0)</f>
        <v>0</v>
      </c>
      <c r="AF21" s="25">
        <f>IF(29=10, Parameters!$C$69*(1+Parameters!$C$11)^9, 0)</f>
        <v>0</v>
      </c>
      <c r="AG21" s="25">
        <f>IF(30=10, Parameters!$C$69*(1+Parameters!$C$11)^9, 0)</f>
        <v>0</v>
      </c>
    </row>
    <row r="22" spans="2:33" ht="15" customHeight="1" x14ac:dyDescent="0.2">
      <c r="B22" t="s">
        <v>350</v>
      </c>
      <c r="D22" s="25">
        <f>IF(1=12, Parameters!$C$70*(1+Parameters!$C$11)^11, 0)</f>
        <v>0</v>
      </c>
      <c r="E22" s="25">
        <f>IF(2=12, Parameters!$C$70*(1+Parameters!$C$11)^11, 0)</f>
        <v>0</v>
      </c>
      <c r="F22" s="25">
        <f>IF(3=12, Parameters!$C$70*(1+Parameters!$C$11)^11, 0)</f>
        <v>0</v>
      </c>
      <c r="G22" s="25">
        <f>IF(4=12, Parameters!$C$70*(1+Parameters!$C$11)^11, 0)</f>
        <v>0</v>
      </c>
      <c r="H22" s="25">
        <f>IF(5=12, Parameters!$C$70*(1+Parameters!$C$11)^11, 0)</f>
        <v>0</v>
      </c>
      <c r="I22" s="25">
        <f>IF(6=12, Parameters!$C$70*(1+Parameters!$C$11)^11, 0)</f>
        <v>0</v>
      </c>
      <c r="J22" s="25">
        <f>IF(7=12, Parameters!$C$70*(1+Parameters!$C$11)^11, 0)</f>
        <v>0</v>
      </c>
      <c r="K22" s="25">
        <f>IF(8=12, Parameters!$C$70*(1+Parameters!$C$11)^11, 0)</f>
        <v>0</v>
      </c>
      <c r="L22" s="25">
        <f>IF(9=12, Parameters!$C$70*(1+Parameters!$C$11)^11, 0)</f>
        <v>0</v>
      </c>
      <c r="M22" s="25">
        <f>IF(10=12, Parameters!$C$70*(1+Parameters!$C$11)^11, 0)</f>
        <v>0</v>
      </c>
      <c r="N22" s="25">
        <f>IF(11=12, Parameters!$C$70*(1+Parameters!$C$11)^11, 0)</f>
        <v>0</v>
      </c>
      <c r="O22" s="25">
        <f>IF(12=12, Parameters!$C$70*(1+Parameters!$C$11)^11, 0)</f>
        <v>350000</v>
      </c>
      <c r="P22" s="25">
        <f>IF(13=12, Parameters!$C$70*(1+Parameters!$C$11)^11, 0)</f>
        <v>0</v>
      </c>
      <c r="Q22" s="25">
        <f>IF(14=12, Parameters!$C$70*(1+Parameters!$C$11)^11, 0)</f>
        <v>0</v>
      </c>
      <c r="R22" s="25">
        <f>IF(15=12, Parameters!$C$70*(1+Parameters!$C$11)^11, 0)</f>
        <v>0</v>
      </c>
      <c r="S22" s="25">
        <f>IF(16=12, Parameters!$C$70*(1+Parameters!$C$11)^11, 0)</f>
        <v>0</v>
      </c>
      <c r="T22" s="25">
        <f>IF(17=12, Parameters!$C$70*(1+Parameters!$C$11)^11, 0)</f>
        <v>0</v>
      </c>
      <c r="U22" s="25">
        <f>IF(18=12, Parameters!$C$70*(1+Parameters!$C$11)^11, 0)</f>
        <v>0</v>
      </c>
      <c r="V22" s="25">
        <f>IF(19=12, Parameters!$C$70*(1+Parameters!$C$11)^11, 0)</f>
        <v>0</v>
      </c>
      <c r="W22" s="25">
        <f>IF(20=12, Parameters!$C$70*(1+Parameters!$C$11)^11, 0)</f>
        <v>0</v>
      </c>
      <c r="X22" s="25">
        <f>IF(21=12, Parameters!$C$70*(1+Parameters!$C$11)^11, 0)</f>
        <v>0</v>
      </c>
      <c r="Y22" s="25">
        <f>IF(22=12, Parameters!$C$70*(1+Parameters!$C$11)^11, 0)</f>
        <v>0</v>
      </c>
      <c r="Z22" s="25">
        <f>IF(23=12, Parameters!$C$70*(1+Parameters!$C$11)^11, 0)</f>
        <v>0</v>
      </c>
      <c r="AA22" s="25">
        <f>IF(24=12, Parameters!$C$70*(1+Parameters!$C$11)^11, 0)</f>
        <v>0</v>
      </c>
      <c r="AB22" s="25">
        <f>IF(25=12, Parameters!$C$70*(1+Parameters!$C$11)^11, 0)</f>
        <v>0</v>
      </c>
      <c r="AC22" s="25">
        <f>IF(26=12, Parameters!$C$70*(1+Parameters!$C$11)^11, 0)</f>
        <v>0</v>
      </c>
      <c r="AD22" s="25">
        <f>IF(27=12, Parameters!$C$70*(1+Parameters!$C$11)^11, 0)</f>
        <v>0</v>
      </c>
      <c r="AE22" s="25">
        <f>IF(28=12, Parameters!$C$70*(1+Parameters!$C$11)^11, 0)</f>
        <v>0</v>
      </c>
      <c r="AF22" s="25">
        <f>IF(29=12, Parameters!$C$70*(1+Parameters!$C$11)^11, 0)</f>
        <v>0</v>
      </c>
      <c r="AG22" s="25">
        <f>IF(30=12, Parameters!$C$70*(1+Parameters!$C$11)^11, 0)</f>
        <v>0</v>
      </c>
    </row>
    <row r="23" spans="2:33" ht="15" customHeight="1" x14ac:dyDescent="0.2">
      <c r="B23" t="s">
        <v>352</v>
      </c>
      <c r="D23" s="25">
        <f>IF(1=15, Parameters!$C$71*(1+Parameters!$C$11)^14, 0)</f>
        <v>0</v>
      </c>
      <c r="E23" s="25">
        <f>IF(2=15, Parameters!$C$71*(1+Parameters!$C$11)^14, 0)</f>
        <v>0</v>
      </c>
      <c r="F23" s="25">
        <f>IF(3=15, Parameters!$C$71*(1+Parameters!$C$11)^14, 0)</f>
        <v>0</v>
      </c>
      <c r="G23" s="25">
        <f>IF(4=15, Parameters!$C$71*(1+Parameters!$C$11)^14, 0)</f>
        <v>0</v>
      </c>
      <c r="H23" s="25">
        <f>IF(5=15, Parameters!$C$71*(1+Parameters!$C$11)^14, 0)</f>
        <v>0</v>
      </c>
      <c r="I23" s="25">
        <f>IF(6=15, Parameters!$C$71*(1+Parameters!$C$11)^14, 0)</f>
        <v>0</v>
      </c>
      <c r="J23" s="25">
        <f>IF(7=15, Parameters!$C$71*(1+Parameters!$C$11)^14, 0)</f>
        <v>0</v>
      </c>
      <c r="K23" s="25">
        <f>IF(8=15, Parameters!$C$71*(1+Parameters!$C$11)^14, 0)</f>
        <v>0</v>
      </c>
      <c r="L23" s="25">
        <f>IF(9=15, Parameters!$C$71*(1+Parameters!$C$11)^14, 0)</f>
        <v>0</v>
      </c>
      <c r="M23" s="25">
        <f>IF(10=15, Parameters!$C$71*(1+Parameters!$C$11)^14, 0)</f>
        <v>0</v>
      </c>
      <c r="N23" s="25">
        <f>IF(11=15, Parameters!$C$71*(1+Parameters!$C$11)^14, 0)</f>
        <v>0</v>
      </c>
      <c r="O23" s="25">
        <f>IF(12=15, Parameters!$C$71*(1+Parameters!$C$11)^14, 0)</f>
        <v>0</v>
      </c>
      <c r="P23" s="25">
        <f>IF(13=15, Parameters!$C$71*(1+Parameters!$C$11)^14, 0)</f>
        <v>0</v>
      </c>
      <c r="Q23" s="25">
        <f>IF(14=15, Parameters!$C$71*(1+Parameters!$C$11)^14, 0)</f>
        <v>0</v>
      </c>
      <c r="R23" s="25">
        <f>IF(15=15, Parameters!$C$71*(1+Parameters!$C$11)^14, 0)</f>
        <v>250000</v>
      </c>
      <c r="S23" s="25">
        <f>IF(16=15, Parameters!$C$71*(1+Parameters!$C$11)^14, 0)</f>
        <v>0</v>
      </c>
      <c r="T23" s="25">
        <f>IF(17=15, Parameters!$C$71*(1+Parameters!$C$11)^14, 0)</f>
        <v>0</v>
      </c>
      <c r="U23" s="25">
        <f>IF(18=15, Parameters!$C$71*(1+Parameters!$C$11)^14, 0)</f>
        <v>0</v>
      </c>
      <c r="V23" s="25">
        <f>IF(19=15, Parameters!$C$71*(1+Parameters!$C$11)^14, 0)</f>
        <v>0</v>
      </c>
      <c r="W23" s="25">
        <f>IF(20=15, Parameters!$C$71*(1+Parameters!$C$11)^14, 0)</f>
        <v>0</v>
      </c>
      <c r="X23" s="25">
        <f>IF(21=15, Parameters!$C$71*(1+Parameters!$C$11)^14, 0)</f>
        <v>0</v>
      </c>
      <c r="Y23" s="25">
        <f>IF(22=15, Parameters!$C$71*(1+Parameters!$C$11)^14, 0)</f>
        <v>0</v>
      </c>
      <c r="Z23" s="25">
        <f>IF(23=15, Parameters!$C$71*(1+Parameters!$C$11)^14, 0)</f>
        <v>0</v>
      </c>
      <c r="AA23" s="25">
        <f>IF(24=15, Parameters!$C$71*(1+Parameters!$C$11)^14, 0)</f>
        <v>0</v>
      </c>
      <c r="AB23" s="25">
        <f>IF(25=15, Parameters!$C$71*(1+Parameters!$C$11)^14, 0)</f>
        <v>0</v>
      </c>
      <c r="AC23" s="25">
        <f>IF(26=15, Parameters!$C$71*(1+Parameters!$C$11)^14, 0)</f>
        <v>0</v>
      </c>
      <c r="AD23" s="25">
        <f>IF(27=15, Parameters!$C$71*(1+Parameters!$C$11)^14, 0)</f>
        <v>0</v>
      </c>
      <c r="AE23" s="25">
        <f>IF(28=15, Parameters!$C$71*(1+Parameters!$C$11)^14, 0)</f>
        <v>0</v>
      </c>
      <c r="AF23" s="25">
        <f>IF(29=15, Parameters!$C$71*(1+Parameters!$C$11)^14, 0)</f>
        <v>0</v>
      </c>
      <c r="AG23" s="25">
        <f>IF(30=15, Parameters!$C$71*(1+Parameters!$C$11)^14, 0)</f>
        <v>0</v>
      </c>
    </row>
    <row r="24" spans="2:33" ht="15" customHeight="1" x14ac:dyDescent="0.2">
      <c r="B24" t="s">
        <v>354</v>
      </c>
      <c r="D24" s="25">
        <f>IF(1=18, Parameters!$C$72*(1+Parameters!$C$11)^17, 0)</f>
        <v>0</v>
      </c>
      <c r="E24" s="25">
        <f>IF(2=18, Parameters!$C$72*(1+Parameters!$C$11)^17, 0)</f>
        <v>0</v>
      </c>
      <c r="F24" s="25">
        <f>IF(3=18, Parameters!$C$72*(1+Parameters!$C$11)^17, 0)</f>
        <v>0</v>
      </c>
      <c r="G24" s="25">
        <f>IF(4=18, Parameters!$C$72*(1+Parameters!$C$11)^17, 0)</f>
        <v>0</v>
      </c>
      <c r="H24" s="25">
        <f>IF(5=18, Parameters!$C$72*(1+Parameters!$C$11)^17, 0)</f>
        <v>0</v>
      </c>
      <c r="I24" s="25">
        <f>IF(6=18, Parameters!$C$72*(1+Parameters!$C$11)^17, 0)</f>
        <v>0</v>
      </c>
      <c r="J24" s="25">
        <f>IF(7=18, Parameters!$C$72*(1+Parameters!$C$11)^17, 0)</f>
        <v>0</v>
      </c>
      <c r="K24" s="25">
        <f>IF(8=18, Parameters!$C$72*(1+Parameters!$C$11)^17, 0)</f>
        <v>0</v>
      </c>
      <c r="L24" s="25">
        <f>IF(9=18, Parameters!$C$72*(1+Parameters!$C$11)^17, 0)</f>
        <v>0</v>
      </c>
      <c r="M24" s="25">
        <f>IF(10=18, Parameters!$C$72*(1+Parameters!$C$11)^17, 0)</f>
        <v>0</v>
      </c>
      <c r="N24" s="25">
        <f>IF(11=18, Parameters!$C$72*(1+Parameters!$C$11)^17, 0)</f>
        <v>0</v>
      </c>
      <c r="O24" s="25">
        <f>IF(12=18, Parameters!$C$72*(1+Parameters!$C$11)^17, 0)</f>
        <v>0</v>
      </c>
      <c r="P24" s="25">
        <f>IF(13=18, Parameters!$C$72*(1+Parameters!$C$11)^17, 0)</f>
        <v>0</v>
      </c>
      <c r="Q24" s="25">
        <f>IF(14=18, Parameters!$C$72*(1+Parameters!$C$11)^17, 0)</f>
        <v>0</v>
      </c>
      <c r="R24" s="25">
        <f>IF(15=18, Parameters!$C$72*(1+Parameters!$C$11)^17, 0)</f>
        <v>0</v>
      </c>
      <c r="S24" s="25">
        <f>IF(16=18, Parameters!$C$72*(1+Parameters!$C$11)^17, 0)</f>
        <v>0</v>
      </c>
      <c r="T24" s="25">
        <f>IF(17=18, Parameters!$C$72*(1+Parameters!$C$11)^17, 0)</f>
        <v>0</v>
      </c>
      <c r="U24" s="25">
        <f>IF(18=18, Parameters!$C$72*(1+Parameters!$C$11)^17, 0)</f>
        <v>150000</v>
      </c>
      <c r="V24" s="25">
        <f>IF(19=18, Parameters!$C$72*(1+Parameters!$C$11)^17, 0)</f>
        <v>0</v>
      </c>
      <c r="W24" s="25">
        <f>IF(20=18, Parameters!$C$72*(1+Parameters!$C$11)^17, 0)</f>
        <v>0</v>
      </c>
      <c r="X24" s="25">
        <f>IF(21=18, Parameters!$C$72*(1+Parameters!$C$11)^17, 0)</f>
        <v>0</v>
      </c>
      <c r="Y24" s="25">
        <f>IF(22=18, Parameters!$C$72*(1+Parameters!$C$11)^17, 0)</f>
        <v>0</v>
      </c>
      <c r="Z24" s="25">
        <f>IF(23=18, Parameters!$C$72*(1+Parameters!$C$11)^17, 0)</f>
        <v>0</v>
      </c>
      <c r="AA24" s="25">
        <f>IF(24=18, Parameters!$C$72*(1+Parameters!$C$11)^17, 0)</f>
        <v>0</v>
      </c>
      <c r="AB24" s="25">
        <f>IF(25=18, Parameters!$C$72*(1+Parameters!$C$11)^17, 0)</f>
        <v>0</v>
      </c>
      <c r="AC24" s="25">
        <f>IF(26=18, Parameters!$C$72*(1+Parameters!$C$11)^17, 0)</f>
        <v>0</v>
      </c>
      <c r="AD24" s="25">
        <f>IF(27=18, Parameters!$C$72*(1+Parameters!$C$11)^17, 0)</f>
        <v>0</v>
      </c>
      <c r="AE24" s="25">
        <f>IF(28=18, Parameters!$C$72*(1+Parameters!$C$11)^17, 0)</f>
        <v>0</v>
      </c>
      <c r="AF24" s="25">
        <f>IF(29=18, Parameters!$C$72*(1+Parameters!$C$11)^17, 0)</f>
        <v>0</v>
      </c>
      <c r="AG24" s="25">
        <f>IF(30=18, Parameters!$C$72*(1+Parameters!$C$11)^17, 0)</f>
        <v>0</v>
      </c>
    </row>
    <row r="25" spans="2:33" ht="15" customHeight="1" x14ac:dyDescent="0.2">
      <c r="B25" t="s">
        <v>356</v>
      </c>
      <c r="D25" s="25">
        <f>IF(1=22, Parameters!$C$73*(1+Parameters!$C$11)^21, 0)</f>
        <v>0</v>
      </c>
      <c r="E25" s="25">
        <f>IF(2=22, Parameters!$C$73*(1+Parameters!$C$11)^21, 0)</f>
        <v>0</v>
      </c>
      <c r="F25" s="25">
        <f>IF(3=22, Parameters!$C$73*(1+Parameters!$C$11)^21, 0)</f>
        <v>0</v>
      </c>
      <c r="G25" s="25">
        <f>IF(4=22, Parameters!$C$73*(1+Parameters!$C$11)^21, 0)</f>
        <v>0</v>
      </c>
      <c r="H25" s="25">
        <f>IF(5=22, Parameters!$C$73*(1+Parameters!$C$11)^21, 0)</f>
        <v>0</v>
      </c>
      <c r="I25" s="25">
        <f>IF(6=22, Parameters!$C$73*(1+Parameters!$C$11)^21, 0)</f>
        <v>0</v>
      </c>
      <c r="J25" s="25">
        <f>IF(7=22, Parameters!$C$73*(1+Parameters!$C$11)^21, 0)</f>
        <v>0</v>
      </c>
      <c r="K25" s="25">
        <f>IF(8=22, Parameters!$C$73*(1+Parameters!$C$11)^21, 0)</f>
        <v>0</v>
      </c>
      <c r="L25" s="25">
        <f>IF(9=22, Parameters!$C$73*(1+Parameters!$C$11)^21, 0)</f>
        <v>0</v>
      </c>
      <c r="M25" s="25">
        <f>IF(10=22, Parameters!$C$73*(1+Parameters!$C$11)^21, 0)</f>
        <v>0</v>
      </c>
      <c r="N25" s="25">
        <f>IF(11=22, Parameters!$C$73*(1+Parameters!$C$11)^21, 0)</f>
        <v>0</v>
      </c>
      <c r="O25" s="25">
        <f>IF(12=22, Parameters!$C$73*(1+Parameters!$C$11)^21, 0)</f>
        <v>0</v>
      </c>
      <c r="P25" s="25">
        <f>IF(13=22, Parameters!$C$73*(1+Parameters!$C$11)^21, 0)</f>
        <v>0</v>
      </c>
      <c r="Q25" s="25">
        <f>IF(14=22, Parameters!$C$73*(1+Parameters!$C$11)^21, 0)</f>
        <v>0</v>
      </c>
      <c r="R25" s="25">
        <f>IF(15=22, Parameters!$C$73*(1+Parameters!$C$11)^21, 0)</f>
        <v>0</v>
      </c>
      <c r="S25" s="25">
        <f>IF(16=22, Parameters!$C$73*(1+Parameters!$C$11)^21, 0)</f>
        <v>0</v>
      </c>
      <c r="T25" s="25">
        <f>IF(17=22, Parameters!$C$73*(1+Parameters!$C$11)^21, 0)</f>
        <v>0</v>
      </c>
      <c r="U25" s="25">
        <f>IF(18=22, Parameters!$C$73*(1+Parameters!$C$11)^21, 0)</f>
        <v>0</v>
      </c>
      <c r="V25" s="25">
        <f>IF(19=22, Parameters!$C$73*(1+Parameters!$C$11)^21, 0)</f>
        <v>0</v>
      </c>
      <c r="W25" s="25">
        <f>IF(20=22, Parameters!$C$73*(1+Parameters!$C$11)^21, 0)</f>
        <v>0</v>
      </c>
      <c r="X25" s="25">
        <f>IF(21=22, Parameters!$C$73*(1+Parameters!$C$11)^21, 0)</f>
        <v>0</v>
      </c>
      <c r="Y25" s="25">
        <f>IF(22=22, Parameters!$C$73*(1+Parameters!$C$11)^21, 0)</f>
        <v>350000</v>
      </c>
      <c r="Z25" s="25">
        <f>IF(23=22, Parameters!$C$73*(1+Parameters!$C$11)^21, 0)</f>
        <v>0</v>
      </c>
      <c r="AA25" s="25">
        <f>IF(24=22, Parameters!$C$73*(1+Parameters!$C$11)^21, 0)</f>
        <v>0</v>
      </c>
      <c r="AB25" s="25">
        <f>IF(25=22, Parameters!$C$73*(1+Parameters!$C$11)^21, 0)</f>
        <v>0</v>
      </c>
      <c r="AC25" s="25">
        <f>IF(26=22, Parameters!$C$73*(1+Parameters!$C$11)^21, 0)</f>
        <v>0</v>
      </c>
      <c r="AD25" s="25">
        <f>IF(27=22, Parameters!$C$73*(1+Parameters!$C$11)^21, 0)</f>
        <v>0</v>
      </c>
      <c r="AE25" s="25">
        <f>IF(28=22, Parameters!$C$73*(1+Parameters!$C$11)^21, 0)</f>
        <v>0</v>
      </c>
      <c r="AF25" s="25">
        <f>IF(29=22, Parameters!$C$73*(1+Parameters!$C$11)^21, 0)</f>
        <v>0</v>
      </c>
      <c r="AG25" s="25">
        <f>IF(30=22, Parameters!$C$73*(1+Parameters!$C$11)^21, 0)</f>
        <v>0</v>
      </c>
    </row>
    <row r="26" spans="2:33" ht="15" customHeight="1" x14ac:dyDescent="0.2">
      <c r="B26" t="s">
        <v>358</v>
      </c>
      <c r="D26" s="25">
        <f>IF(1=28, Parameters!$C$74*(1+Parameters!$C$11)^27, 0)</f>
        <v>0</v>
      </c>
      <c r="E26" s="25">
        <f>IF(2=28, Parameters!$C$74*(1+Parameters!$C$11)^27, 0)</f>
        <v>0</v>
      </c>
      <c r="F26" s="25">
        <f>IF(3=28, Parameters!$C$74*(1+Parameters!$C$11)^27, 0)</f>
        <v>0</v>
      </c>
      <c r="G26" s="25">
        <f>IF(4=28, Parameters!$C$74*(1+Parameters!$C$11)^27, 0)</f>
        <v>0</v>
      </c>
      <c r="H26" s="25">
        <f>IF(5=28, Parameters!$C$74*(1+Parameters!$C$11)^27, 0)</f>
        <v>0</v>
      </c>
      <c r="I26" s="25">
        <f>IF(6=28, Parameters!$C$74*(1+Parameters!$C$11)^27, 0)</f>
        <v>0</v>
      </c>
      <c r="J26" s="25">
        <f>IF(7=28, Parameters!$C$74*(1+Parameters!$C$11)^27, 0)</f>
        <v>0</v>
      </c>
      <c r="K26" s="25">
        <f>IF(8=28, Parameters!$C$74*(1+Parameters!$C$11)^27, 0)</f>
        <v>0</v>
      </c>
      <c r="L26" s="25">
        <f>IF(9=28, Parameters!$C$74*(1+Parameters!$C$11)^27, 0)</f>
        <v>0</v>
      </c>
      <c r="M26" s="25">
        <f>IF(10=28, Parameters!$C$74*(1+Parameters!$C$11)^27, 0)</f>
        <v>0</v>
      </c>
      <c r="N26" s="25">
        <f>IF(11=28, Parameters!$C$74*(1+Parameters!$C$11)^27, 0)</f>
        <v>0</v>
      </c>
      <c r="O26" s="25">
        <f>IF(12=28, Parameters!$C$74*(1+Parameters!$C$11)^27, 0)</f>
        <v>0</v>
      </c>
      <c r="P26" s="25">
        <f>IF(13=28, Parameters!$C$74*(1+Parameters!$C$11)^27, 0)</f>
        <v>0</v>
      </c>
      <c r="Q26" s="25">
        <f>IF(14=28, Parameters!$C$74*(1+Parameters!$C$11)^27, 0)</f>
        <v>0</v>
      </c>
      <c r="R26" s="25">
        <f>IF(15=28, Parameters!$C$74*(1+Parameters!$C$11)^27, 0)</f>
        <v>0</v>
      </c>
      <c r="S26" s="25">
        <f>IF(16=28, Parameters!$C$74*(1+Parameters!$C$11)^27, 0)</f>
        <v>0</v>
      </c>
      <c r="T26" s="25">
        <f>IF(17=28, Parameters!$C$74*(1+Parameters!$C$11)^27, 0)</f>
        <v>0</v>
      </c>
      <c r="U26" s="25">
        <f>IF(18=28, Parameters!$C$74*(1+Parameters!$C$11)^27, 0)</f>
        <v>0</v>
      </c>
      <c r="V26" s="25">
        <f>IF(19=28, Parameters!$C$74*(1+Parameters!$C$11)^27, 0)</f>
        <v>0</v>
      </c>
      <c r="W26" s="25">
        <f>IF(20=28, Parameters!$C$74*(1+Parameters!$C$11)^27, 0)</f>
        <v>0</v>
      </c>
      <c r="X26" s="25">
        <f>IF(21=28, Parameters!$C$74*(1+Parameters!$C$11)^27, 0)</f>
        <v>0</v>
      </c>
      <c r="Y26" s="25">
        <f>IF(22=28, Parameters!$C$74*(1+Parameters!$C$11)^27, 0)</f>
        <v>0</v>
      </c>
      <c r="Z26" s="25">
        <f>IF(23=28, Parameters!$C$74*(1+Parameters!$C$11)^27, 0)</f>
        <v>0</v>
      </c>
      <c r="AA26" s="25">
        <f>IF(24=28, Parameters!$C$74*(1+Parameters!$C$11)^27, 0)</f>
        <v>0</v>
      </c>
      <c r="AB26" s="25">
        <f>IF(25=28, Parameters!$C$74*(1+Parameters!$C$11)^27, 0)</f>
        <v>0</v>
      </c>
      <c r="AC26" s="25">
        <f>IF(26=28, Parameters!$C$74*(1+Parameters!$C$11)^27, 0)</f>
        <v>0</v>
      </c>
      <c r="AD26" s="25">
        <f>IF(27=28, Parameters!$C$74*(1+Parameters!$C$11)^27, 0)</f>
        <v>0</v>
      </c>
      <c r="AE26" s="25">
        <f>IF(28=28, Parameters!$C$74*(1+Parameters!$C$11)^27, 0)</f>
        <v>450000</v>
      </c>
      <c r="AF26" s="25">
        <f>IF(29=28, Parameters!$C$74*(1+Parameters!$C$11)^27, 0)</f>
        <v>0</v>
      </c>
      <c r="AG26" s="25">
        <f>IF(30=28, Parameters!$C$74*(1+Parameters!$C$11)^27, 0)</f>
        <v>0</v>
      </c>
    </row>
    <row r="27" spans="2:33" ht="15" customHeight="1" x14ac:dyDescent="0.2">
      <c r="B27" s="63" t="s">
        <v>650</v>
      </c>
      <c r="C27" s="63"/>
      <c r="D27" s="64">
        <f t="shared" ref="D27:AG27" si="0">SUM(D19:D26)</f>
        <v>0</v>
      </c>
      <c r="E27" s="64">
        <f t="shared" si="0"/>
        <v>0</v>
      </c>
      <c r="F27" s="64">
        <f t="shared" si="0"/>
        <v>0</v>
      </c>
      <c r="G27" s="64">
        <f t="shared" si="0"/>
        <v>0</v>
      </c>
      <c r="H27" s="64">
        <f t="shared" si="0"/>
        <v>300000</v>
      </c>
      <c r="I27" s="64">
        <f t="shared" si="0"/>
        <v>0</v>
      </c>
      <c r="J27" s="64">
        <f t="shared" si="0"/>
        <v>0</v>
      </c>
      <c r="K27" s="64">
        <f t="shared" si="0"/>
        <v>400000</v>
      </c>
      <c r="L27" s="64">
        <f t="shared" si="0"/>
        <v>0</v>
      </c>
      <c r="M27" s="64">
        <f t="shared" si="0"/>
        <v>200000</v>
      </c>
      <c r="N27" s="64">
        <f t="shared" si="0"/>
        <v>0</v>
      </c>
      <c r="O27" s="64">
        <f t="shared" si="0"/>
        <v>350000</v>
      </c>
      <c r="P27" s="64">
        <f t="shared" si="0"/>
        <v>0</v>
      </c>
      <c r="Q27" s="64">
        <f t="shared" si="0"/>
        <v>0</v>
      </c>
      <c r="R27" s="64">
        <f t="shared" si="0"/>
        <v>250000</v>
      </c>
      <c r="S27" s="64">
        <f t="shared" si="0"/>
        <v>0</v>
      </c>
      <c r="T27" s="64">
        <f t="shared" si="0"/>
        <v>0</v>
      </c>
      <c r="U27" s="64">
        <f t="shared" si="0"/>
        <v>150000</v>
      </c>
      <c r="V27" s="64">
        <f t="shared" si="0"/>
        <v>0</v>
      </c>
      <c r="W27" s="64">
        <f t="shared" si="0"/>
        <v>0</v>
      </c>
      <c r="X27" s="64">
        <f t="shared" si="0"/>
        <v>0</v>
      </c>
      <c r="Y27" s="64">
        <f t="shared" si="0"/>
        <v>350000</v>
      </c>
      <c r="Z27" s="64">
        <f t="shared" si="0"/>
        <v>0</v>
      </c>
      <c r="AA27" s="64">
        <f t="shared" si="0"/>
        <v>0</v>
      </c>
      <c r="AB27" s="64">
        <f t="shared" si="0"/>
        <v>0</v>
      </c>
      <c r="AC27" s="64">
        <f t="shared" si="0"/>
        <v>0</v>
      </c>
      <c r="AD27" s="64">
        <f t="shared" si="0"/>
        <v>0</v>
      </c>
      <c r="AE27" s="64">
        <f t="shared" si="0"/>
        <v>450000</v>
      </c>
      <c r="AF27" s="64">
        <f t="shared" si="0"/>
        <v>0</v>
      </c>
      <c r="AG27" s="64">
        <f t="shared" si="0"/>
        <v>0</v>
      </c>
    </row>
    <row r="29" spans="2:33" ht="15" customHeight="1" x14ac:dyDescent="0.2">
      <c r="B29" s="16" t="s">
        <v>651</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2:33" ht="15" customHeight="1" x14ac:dyDescent="0.2">
      <c r="B30" s="63" t="s">
        <v>652</v>
      </c>
      <c r="C30" s="63"/>
      <c r="D30" s="64">
        <f>IF((1=Parameters!$C$160)*(Parameters!$C$159=1), Parameters!$C$161*(1+Parameters!$C$11)^0, 0)</f>
        <v>0</v>
      </c>
      <c r="E30" s="64">
        <f>IF((2=Parameters!$C$160)*(Parameters!$C$159=1), Parameters!$C$161*(1+Parameters!$C$11)^1, 0)</f>
        <v>0</v>
      </c>
      <c r="F30" s="64">
        <f>IF((3=Parameters!$C$160)*(Parameters!$C$159=1), Parameters!$C$161*(1+Parameters!$C$11)^2, 0)</f>
        <v>0</v>
      </c>
      <c r="G30" s="64">
        <f>IF((4=Parameters!$C$160)*(Parameters!$C$159=1), Parameters!$C$161*(1+Parameters!$C$11)^3, 0)</f>
        <v>0</v>
      </c>
      <c r="H30" s="64">
        <f>IF((5=Parameters!$C$160)*(Parameters!$C$159=1), Parameters!$C$161*(1+Parameters!$C$11)^4, 0)</f>
        <v>0</v>
      </c>
      <c r="I30" s="64">
        <f>IF((6=Parameters!$C$160)*(Parameters!$C$159=1), Parameters!$C$161*(1+Parameters!$C$11)^5, 0)</f>
        <v>0</v>
      </c>
      <c r="J30" s="64">
        <f>IF((7=Parameters!$C$160)*(Parameters!$C$159=1), Parameters!$C$161*(1+Parameters!$C$11)^6, 0)</f>
        <v>0</v>
      </c>
      <c r="K30" s="64">
        <f>IF((8=Parameters!$C$160)*(Parameters!$C$159=1), Parameters!$C$161*(1+Parameters!$C$11)^7, 0)</f>
        <v>0</v>
      </c>
      <c r="L30" s="64">
        <f>IF((9=Parameters!$C$160)*(Parameters!$C$159=1), Parameters!$C$161*(1+Parameters!$C$11)^8, 0)</f>
        <v>0</v>
      </c>
      <c r="M30" s="64">
        <f>IF((10=Parameters!$C$160)*(Parameters!$C$159=1), Parameters!$C$161*(1+Parameters!$C$11)^9, 0)</f>
        <v>0</v>
      </c>
      <c r="N30" s="64">
        <f>IF((11=Parameters!$C$160)*(Parameters!$C$159=1), Parameters!$C$161*(1+Parameters!$C$11)^10, 0)</f>
        <v>0</v>
      </c>
      <c r="O30" s="64">
        <f>IF((12=Parameters!$C$160)*(Parameters!$C$159=1), Parameters!$C$161*(1+Parameters!$C$11)^11, 0)</f>
        <v>0</v>
      </c>
      <c r="P30" s="64">
        <f>IF((13=Parameters!$C$160)*(Parameters!$C$159=1), Parameters!$C$161*(1+Parameters!$C$11)^12, 0)</f>
        <v>0</v>
      </c>
      <c r="Q30" s="64">
        <f>IF((14=Parameters!$C$160)*(Parameters!$C$159=1), Parameters!$C$161*(1+Parameters!$C$11)^13, 0)</f>
        <v>0</v>
      </c>
      <c r="R30" s="64">
        <f>IF((15=Parameters!$C$160)*(Parameters!$C$159=1), Parameters!$C$161*(1+Parameters!$C$11)^14, 0)</f>
        <v>0</v>
      </c>
      <c r="S30" s="64">
        <f>IF((16=Parameters!$C$160)*(Parameters!$C$159=1), Parameters!$C$161*(1+Parameters!$C$11)^15, 0)</f>
        <v>0</v>
      </c>
      <c r="T30" s="64">
        <f>IF((17=Parameters!$C$160)*(Parameters!$C$159=1), Parameters!$C$161*(1+Parameters!$C$11)^16, 0)</f>
        <v>0</v>
      </c>
      <c r="U30" s="64">
        <f>IF((18=Parameters!$C$160)*(Parameters!$C$159=1), Parameters!$C$161*(1+Parameters!$C$11)^17, 0)</f>
        <v>0</v>
      </c>
      <c r="V30" s="64">
        <f>IF((19=Parameters!$C$160)*(Parameters!$C$159=1), Parameters!$C$161*(1+Parameters!$C$11)^18, 0)</f>
        <v>0</v>
      </c>
      <c r="W30" s="64">
        <f>IF((20=Parameters!$C$160)*(Parameters!$C$159=1), Parameters!$C$161*(1+Parameters!$C$11)^19, 0)</f>
        <v>0</v>
      </c>
      <c r="X30" s="64">
        <f>IF((21=Parameters!$C$160)*(Parameters!$C$159=1), Parameters!$C$161*(1+Parameters!$C$11)^20, 0)</f>
        <v>0</v>
      </c>
      <c r="Y30" s="64">
        <f>IF((22=Parameters!$C$160)*(Parameters!$C$159=1), Parameters!$C$161*(1+Parameters!$C$11)^21, 0)</f>
        <v>0</v>
      </c>
      <c r="Z30" s="64">
        <f>IF((23=Parameters!$C$160)*(Parameters!$C$159=1), Parameters!$C$161*(1+Parameters!$C$11)^22, 0)</f>
        <v>0</v>
      </c>
      <c r="AA30" s="64">
        <f>IF((24=Parameters!$C$160)*(Parameters!$C$159=1), Parameters!$C$161*(1+Parameters!$C$11)^23, 0)</f>
        <v>0</v>
      </c>
      <c r="AB30" s="64">
        <f>IF((25=Parameters!$C$160)*(Parameters!$C$159=1), Parameters!$C$161*(1+Parameters!$C$11)^24, 0)</f>
        <v>0</v>
      </c>
      <c r="AC30" s="64">
        <f>IF((26=Parameters!$C$160)*(Parameters!$C$159=1), Parameters!$C$161*(1+Parameters!$C$11)^25, 0)</f>
        <v>0</v>
      </c>
      <c r="AD30" s="64">
        <f>IF((27=Parameters!$C$160)*(Parameters!$C$159=1), Parameters!$C$161*(1+Parameters!$C$11)^26, 0)</f>
        <v>0</v>
      </c>
      <c r="AE30" s="64">
        <f>IF((28=Parameters!$C$160)*(Parameters!$C$159=1), Parameters!$C$161*(1+Parameters!$C$11)^27, 0)</f>
        <v>0</v>
      </c>
      <c r="AF30" s="64">
        <f>IF((29=Parameters!$C$160)*(Parameters!$C$159=1), Parameters!$C$161*(1+Parameters!$C$11)^28, 0)</f>
        <v>0</v>
      </c>
      <c r="AG30" s="64">
        <f>IF((30=Parameters!$C$160)*(Parameters!$C$159=1), Parameters!$C$161*(1+Parameters!$C$11)^29, 0)</f>
        <v>47348603.336675003</v>
      </c>
    </row>
    <row r="32" spans="2:33" ht="15" customHeight="1" x14ac:dyDescent="0.2">
      <c r="B32" s="16" t="s">
        <v>653</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2:33" ht="15" customHeight="1" x14ac:dyDescent="0.2">
      <c r="B33" t="s">
        <v>654</v>
      </c>
      <c r="D33" s="25">
        <f>Parameters!$C$57*(1+Parameters!$C$12)^0</f>
        <v>101500</v>
      </c>
      <c r="E33" s="25">
        <f>Parameters!$C$57*(1+Parameters!$C$12)^1</f>
        <v>101500</v>
      </c>
      <c r="F33" s="25">
        <f>Parameters!$C$57*(1+Parameters!$C$12)^2</f>
        <v>101500</v>
      </c>
      <c r="G33" s="25">
        <f>Parameters!$C$57*(1+Parameters!$C$12)^3</f>
        <v>101500</v>
      </c>
      <c r="H33" s="25">
        <f>Parameters!$C$57*(1+Parameters!$C$12)^4</f>
        <v>101500</v>
      </c>
      <c r="I33" s="25">
        <f>Parameters!$C$57*(1+Parameters!$C$12)^5</f>
        <v>101500</v>
      </c>
      <c r="J33" s="25">
        <f>Parameters!$C$57*(1+Parameters!$C$12)^6</f>
        <v>101500</v>
      </c>
      <c r="K33" s="25">
        <f>Parameters!$C$57*(1+Parameters!$C$12)^7</f>
        <v>101500</v>
      </c>
      <c r="L33" s="25">
        <f>Parameters!$C$57*(1+Parameters!$C$12)^8</f>
        <v>101500</v>
      </c>
      <c r="M33" s="25">
        <f>Parameters!$C$57*(1+Parameters!$C$12)^9</f>
        <v>101500</v>
      </c>
      <c r="N33" s="25">
        <f>Parameters!$C$57*(1+Parameters!$C$12)^10</f>
        <v>101500</v>
      </c>
      <c r="O33" s="25">
        <f>Parameters!$C$57*(1+Parameters!$C$12)^11</f>
        <v>101500</v>
      </c>
      <c r="P33" s="25">
        <f>Parameters!$C$57*(1+Parameters!$C$12)^12</f>
        <v>101500</v>
      </c>
      <c r="Q33" s="25">
        <f>Parameters!$C$57*(1+Parameters!$C$12)^13</f>
        <v>101500</v>
      </c>
      <c r="R33" s="25">
        <f>Parameters!$C$57*(1+Parameters!$C$12)^14</f>
        <v>101500</v>
      </c>
      <c r="S33" s="25">
        <f>Parameters!$C$57*(1+Parameters!$C$12)^15</f>
        <v>101500</v>
      </c>
      <c r="T33" s="25">
        <f>Parameters!$C$57*(1+Parameters!$C$12)^16</f>
        <v>101500</v>
      </c>
      <c r="U33" s="25">
        <f>Parameters!$C$57*(1+Parameters!$C$12)^17</f>
        <v>101500</v>
      </c>
      <c r="V33" s="25">
        <f>Parameters!$C$57*(1+Parameters!$C$12)^18</f>
        <v>101500</v>
      </c>
      <c r="W33" s="25">
        <f>Parameters!$C$57*(1+Parameters!$C$12)^19</f>
        <v>101500</v>
      </c>
      <c r="X33" s="25">
        <f>Parameters!$C$57*(1+Parameters!$C$12)^20</f>
        <v>101500</v>
      </c>
      <c r="Y33" s="25">
        <f>Parameters!$C$57*(1+Parameters!$C$12)^21</f>
        <v>101500</v>
      </c>
      <c r="Z33" s="25">
        <f>Parameters!$C$57*(1+Parameters!$C$12)^22</f>
        <v>101500</v>
      </c>
      <c r="AA33" s="25">
        <f>Parameters!$C$57*(1+Parameters!$C$12)^23</f>
        <v>101500</v>
      </c>
      <c r="AB33" s="25">
        <f>Parameters!$C$57*(1+Parameters!$C$12)^24</f>
        <v>101500</v>
      </c>
      <c r="AC33" s="25">
        <f>Parameters!$C$57*(1+Parameters!$C$12)^25</f>
        <v>101500</v>
      </c>
      <c r="AD33" s="25">
        <f>Parameters!$C$57*(1+Parameters!$C$12)^26</f>
        <v>101500</v>
      </c>
      <c r="AE33" s="25">
        <f>Parameters!$C$57*(1+Parameters!$C$12)^27</f>
        <v>101500</v>
      </c>
      <c r="AF33" s="25">
        <f>Parameters!$C$57*(1+Parameters!$C$12)^28</f>
        <v>101500</v>
      </c>
      <c r="AG33" s="25">
        <f>Parameters!$C$57*(1+Parameters!$C$12)^29</f>
        <v>101500</v>
      </c>
    </row>
    <row r="34" spans="2:33" ht="15" customHeight="1" x14ac:dyDescent="0.2">
      <c r="B34" t="s">
        <v>655</v>
      </c>
      <c r="D34" s="25">
        <f>Parameters!$C$64*(1+Parameters!$C$12)^0</f>
        <v>131239</v>
      </c>
      <c r="E34" s="25">
        <f>Parameters!$C$64*(1+Parameters!$C$12)^1</f>
        <v>131239</v>
      </c>
      <c r="F34" s="25">
        <f>Parameters!$C$64*(1+Parameters!$C$12)^2</f>
        <v>131239</v>
      </c>
      <c r="G34" s="25">
        <f>Parameters!$C$64*(1+Parameters!$C$12)^3</f>
        <v>131239</v>
      </c>
      <c r="H34" s="25">
        <f>Parameters!$C$64*(1+Parameters!$C$12)^4</f>
        <v>131239</v>
      </c>
      <c r="I34" s="25">
        <f>Parameters!$C$64*(1+Parameters!$C$12)^5</f>
        <v>131239</v>
      </c>
      <c r="J34" s="25">
        <f>Parameters!$C$64*(1+Parameters!$C$12)^6</f>
        <v>131239</v>
      </c>
      <c r="K34" s="25">
        <f>Parameters!$C$64*(1+Parameters!$C$12)^7</f>
        <v>131239</v>
      </c>
      <c r="L34" s="25">
        <f>Parameters!$C$64*(1+Parameters!$C$12)^8</f>
        <v>131239</v>
      </c>
      <c r="M34" s="25">
        <f>Parameters!$C$64*(1+Parameters!$C$12)^9</f>
        <v>131239</v>
      </c>
      <c r="N34" s="25">
        <f>Parameters!$C$64*(1+Parameters!$C$12)^10</f>
        <v>131239</v>
      </c>
      <c r="O34" s="25">
        <f>Parameters!$C$64*(1+Parameters!$C$12)^11</f>
        <v>131239</v>
      </c>
      <c r="P34" s="25">
        <f>Parameters!$C$64*(1+Parameters!$C$12)^12</f>
        <v>131239</v>
      </c>
      <c r="Q34" s="25">
        <f>Parameters!$C$64*(1+Parameters!$C$12)^13</f>
        <v>131239</v>
      </c>
      <c r="R34" s="25">
        <f>Parameters!$C$64*(1+Parameters!$C$12)^14</f>
        <v>131239</v>
      </c>
      <c r="S34" s="25">
        <f>Parameters!$C$64*(1+Parameters!$C$12)^15</f>
        <v>131239</v>
      </c>
      <c r="T34" s="25">
        <f>Parameters!$C$64*(1+Parameters!$C$12)^16</f>
        <v>131239</v>
      </c>
      <c r="U34" s="25">
        <f>Parameters!$C$64*(1+Parameters!$C$12)^17</f>
        <v>131239</v>
      </c>
      <c r="V34" s="25">
        <f>Parameters!$C$64*(1+Parameters!$C$12)^18</f>
        <v>131239</v>
      </c>
      <c r="W34" s="25">
        <f>Parameters!$C$64*(1+Parameters!$C$12)^19</f>
        <v>131239</v>
      </c>
      <c r="X34" s="25">
        <f>Parameters!$C$64*(1+Parameters!$C$12)^20</f>
        <v>131239</v>
      </c>
      <c r="Y34" s="25">
        <f>Parameters!$C$64*(1+Parameters!$C$12)^21</f>
        <v>131239</v>
      </c>
      <c r="Z34" s="25">
        <f>Parameters!$C$64*(1+Parameters!$C$12)^22</f>
        <v>131239</v>
      </c>
      <c r="AA34" s="25">
        <f>Parameters!$C$64*(1+Parameters!$C$12)^23</f>
        <v>131239</v>
      </c>
      <c r="AB34" s="25">
        <f>Parameters!$C$64*(1+Parameters!$C$12)^24</f>
        <v>131239</v>
      </c>
      <c r="AC34" s="25">
        <f>Parameters!$C$64*(1+Parameters!$C$12)^25</f>
        <v>131239</v>
      </c>
      <c r="AD34" s="25">
        <f>Parameters!$C$64*(1+Parameters!$C$12)^26</f>
        <v>131239</v>
      </c>
      <c r="AE34" s="25">
        <f>Parameters!$C$64*(1+Parameters!$C$12)^27</f>
        <v>131239</v>
      </c>
      <c r="AF34" s="25">
        <f>Parameters!$C$64*(1+Parameters!$C$12)^28</f>
        <v>131239</v>
      </c>
      <c r="AG34" s="25">
        <f>Parameters!$C$64*(1+Parameters!$C$12)^29</f>
        <v>131239</v>
      </c>
    </row>
    <row r="35" spans="2:33" ht="15" customHeight="1" x14ac:dyDescent="0.2">
      <c r="B35" s="63" t="s">
        <v>656</v>
      </c>
      <c r="C35" s="63"/>
      <c r="D35" s="64">
        <f t="shared" ref="D35:AG35" si="1">SUM(D33:D34)</f>
        <v>232739</v>
      </c>
      <c r="E35" s="64">
        <f t="shared" si="1"/>
        <v>232739</v>
      </c>
      <c r="F35" s="64">
        <f t="shared" si="1"/>
        <v>232739</v>
      </c>
      <c r="G35" s="64">
        <f t="shared" si="1"/>
        <v>232739</v>
      </c>
      <c r="H35" s="64">
        <f t="shared" si="1"/>
        <v>232739</v>
      </c>
      <c r="I35" s="64">
        <f t="shared" si="1"/>
        <v>232739</v>
      </c>
      <c r="J35" s="64">
        <f t="shared" si="1"/>
        <v>232739</v>
      </c>
      <c r="K35" s="64">
        <f t="shared" si="1"/>
        <v>232739</v>
      </c>
      <c r="L35" s="64">
        <f t="shared" si="1"/>
        <v>232739</v>
      </c>
      <c r="M35" s="64">
        <f t="shared" si="1"/>
        <v>232739</v>
      </c>
      <c r="N35" s="64">
        <f t="shared" si="1"/>
        <v>232739</v>
      </c>
      <c r="O35" s="64">
        <f t="shared" si="1"/>
        <v>232739</v>
      </c>
      <c r="P35" s="64">
        <f t="shared" si="1"/>
        <v>232739</v>
      </c>
      <c r="Q35" s="64">
        <f t="shared" si="1"/>
        <v>232739</v>
      </c>
      <c r="R35" s="64">
        <f t="shared" si="1"/>
        <v>232739</v>
      </c>
      <c r="S35" s="64">
        <f t="shared" si="1"/>
        <v>232739</v>
      </c>
      <c r="T35" s="64">
        <f t="shared" si="1"/>
        <v>232739</v>
      </c>
      <c r="U35" s="64">
        <f t="shared" si="1"/>
        <v>232739</v>
      </c>
      <c r="V35" s="64">
        <f t="shared" si="1"/>
        <v>232739</v>
      </c>
      <c r="W35" s="64">
        <f t="shared" si="1"/>
        <v>232739</v>
      </c>
      <c r="X35" s="64">
        <f t="shared" si="1"/>
        <v>232739</v>
      </c>
      <c r="Y35" s="64">
        <f t="shared" si="1"/>
        <v>232739</v>
      </c>
      <c r="Z35" s="64">
        <f t="shared" si="1"/>
        <v>232739</v>
      </c>
      <c r="AA35" s="64">
        <f t="shared" si="1"/>
        <v>232739</v>
      </c>
      <c r="AB35" s="64">
        <f t="shared" si="1"/>
        <v>232739</v>
      </c>
      <c r="AC35" s="64">
        <f t="shared" si="1"/>
        <v>232739</v>
      </c>
      <c r="AD35" s="64">
        <f t="shared" si="1"/>
        <v>232739</v>
      </c>
      <c r="AE35" s="64">
        <f t="shared" si="1"/>
        <v>232739</v>
      </c>
      <c r="AF35" s="64">
        <f t="shared" si="1"/>
        <v>232739</v>
      </c>
      <c r="AG35" s="64">
        <f t="shared" si="1"/>
        <v>232739</v>
      </c>
    </row>
    <row r="37" spans="2:33" ht="15" customHeight="1" x14ac:dyDescent="0.2">
      <c r="B37" s="16" t="s">
        <v>657</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2:33" ht="15" customHeight="1" x14ac:dyDescent="0.2">
      <c r="B38" t="s">
        <v>462</v>
      </c>
      <c r="D38" s="25">
        <f>Parameters!$C$140*(1+Parameters!$C$10)^0</f>
        <v>50000</v>
      </c>
      <c r="E38" s="25">
        <f>Parameters!$C$140*(1+Parameters!$C$10)^1</f>
        <v>50000</v>
      </c>
      <c r="F38" s="25">
        <f>Parameters!$C$140*(1+Parameters!$C$10)^2</f>
        <v>50000</v>
      </c>
      <c r="G38" s="25">
        <f>Parameters!$C$140*(1+Parameters!$C$10)^3</f>
        <v>50000</v>
      </c>
      <c r="H38" s="25">
        <f>Parameters!$C$140*(1+Parameters!$C$10)^4</f>
        <v>50000</v>
      </c>
      <c r="I38" s="25">
        <f>Parameters!$C$140*(1+Parameters!$C$10)^5</f>
        <v>50000</v>
      </c>
      <c r="J38" s="25">
        <f>Parameters!$C$140*(1+Parameters!$C$10)^6</f>
        <v>50000</v>
      </c>
      <c r="K38" s="25">
        <f>Parameters!$C$140*(1+Parameters!$C$10)^7</f>
        <v>50000</v>
      </c>
      <c r="L38" s="25">
        <f>Parameters!$C$140*(1+Parameters!$C$10)^8</f>
        <v>50000</v>
      </c>
      <c r="M38" s="25">
        <f>Parameters!$C$140*(1+Parameters!$C$10)^9</f>
        <v>50000</v>
      </c>
      <c r="N38" s="25">
        <f>Parameters!$C$140*(1+Parameters!$C$10)^10</f>
        <v>50000</v>
      </c>
      <c r="O38" s="25">
        <f>Parameters!$C$140*(1+Parameters!$C$10)^11</f>
        <v>50000</v>
      </c>
      <c r="P38" s="25">
        <f>Parameters!$C$140*(1+Parameters!$C$10)^12</f>
        <v>50000</v>
      </c>
      <c r="Q38" s="25">
        <f>Parameters!$C$140*(1+Parameters!$C$10)^13</f>
        <v>50000</v>
      </c>
      <c r="R38" s="25">
        <f>Parameters!$C$140*(1+Parameters!$C$10)^14</f>
        <v>50000</v>
      </c>
      <c r="S38" s="25">
        <f>Parameters!$C$140*(1+Parameters!$C$10)^15</f>
        <v>50000</v>
      </c>
      <c r="T38" s="25">
        <f>Parameters!$C$140*(1+Parameters!$C$10)^16</f>
        <v>50000</v>
      </c>
      <c r="U38" s="25">
        <f>Parameters!$C$140*(1+Parameters!$C$10)^17</f>
        <v>50000</v>
      </c>
      <c r="V38" s="25">
        <f>Parameters!$C$140*(1+Parameters!$C$10)^18</f>
        <v>50000</v>
      </c>
      <c r="W38" s="25">
        <f>Parameters!$C$140*(1+Parameters!$C$10)^19</f>
        <v>50000</v>
      </c>
      <c r="X38" s="25">
        <f>Parameters!$C$140*(1+Parameters!$C$10)^20</f>
        <v>50000</v>
      </c>
      <c r="Y38" s="25">
        <f>Parameters!$C$140*(1+Parameters!$C$10)^21</f>
        <v>50000</v>
      </c>
      <c r="Z38" s="25">
        <f>Parameters!$C$140*(1+Parameters!$C$10)^22</f>
        <v>50000</v>
      </c>
      <c r="AA38" s="25">
        <f>Parameters!$C$140*(1+Parameters!$C$10)^23</f>
        <v>50000</v>
      </c>
      <c r="AB38" s="25">
        <f>Parameters!$C$140*(1+Parameters!$C$10)^24</f>
        <v>50000</v>
      </c>
      <c r="AC38" s="25">
        <f>Parameters!$C$140*(1+Parameters!$C$10)^25</f>
        <v>50000</v>
      </c>
      <c r="AD38" s="25">
        <f>Parameters!$C$140*(1+Parameters!$C$10)^26</f>
        <v>50000</v>
      </c>
      <c r="AE38" s="25">
        <f>Parameters!$C$140*(1+Parameters!$C$10)^27</f>
        <v>50000</v>
      </c>
      <c r="AF38" s="25">
        <f>Parameters!$C$140*(1+Parameters!$C$10)^28</f>
        <v>50000</v>
      </c>
      <c r="AG38" s="25">
        <f>Parameters!$C$140*(1+Parameters!$C$10)^29</f>
        <v>50000</v>
      </c>
    </row>
    <row r="39" spans="2:33" ht="15" customHeight="1" x14ac:dyDescent="0.2">
      <c r="B39" t="s">
        <v>658</v>
      </c>
      <c r="D39" s="25">
        <f>Parameters!$C$141*(1+Parameters!$C$10)^0</f>
        <v>30000</v>
      </c>
      <c r="E39" s="25">
        <f>Parameters!$C$141*(1+Parameters!$C$10)^1</f>
        <v>30000</v>
      </c>
      <c r="F39" s="25">
        <f>Parameters!$C$141*(1+Parameters!$C$10)^2</f>
        <v>30000</v>
      </c>
      <c r="G39" s="25">
        <f>Parameters!$C$141*(1+Parameters!$C$10)^3</f>
        <v>30000</v>
      </c>
      <c r="H39" s="25">
        <f>Parameters!$C$141*(1+Parameters!$C$10)^4</f>
        <v>30000</v>
      </c>
      <c r="I39" s="25">
        <f>Parameters!$C$141*(1+Parameters!$C$10)^5</f>
        <v>30000</v>
      </c>
      <c r="J39" s="25">
        <f>Parameters!$C$141*(1+Parameters!$C$10)^6</f>
        <v>30000</v>
      </c>
      <c r="K39" s="25">
        <f>Parameters!$C$141*(1+Parameters!$C$10)^7</f>
        <v>30000</v>
      </c>
      <c r="L39" s="25">
        <f>Parameters!$C$141*(1+Parameters!$C$10)^8</f>
        <v>30000</v>
      </c>
      <c r="M39" s="25">
        <f>Parameters!$C$141*(1+Parameters!$C$10)^9</f>
        <v>30000</v>
      </c>
      <c r="N39" s="25">
        <f>Parameters!$C$141*(1+Parameters!$C$10)^10</f>
        <v>30000</v>
      </c>
      <c r="O39" s="25">
        <f>Parameters!$C$141*(1+Parameters!$C$10)^11</f>
        <v>30000</v>
      </c>
      <c r="P39" s="25">
        <f>Parameters!$C$141*(1+Parameters!$C$10)^12</f>
        <v>30000</v>
      </c>
      <c r="Q39" s="25">
        <f>Parameters!$C$141*(1+Parameters!$C$10)^13</f>
        <v>30000</v>
      </c>
      <c r="R39" s="25">
        <f>Parameters!$C$141*(1+Parameters!$C$10)^14</f>
        <v>30000</v>
      </c>
      <c r="S39" s="25">
        <f>Parameters!$C$141*(1+Parameters!$C$10)^15</f>
        <v>30000</v>
      </c>
      <c r="T39" s="25">
        <f>Parameters!$C$141*(1+Parameters!$C$10)^16</f>
        <v>30000</v>
      </c>
      <c r="U39" s="25">
        <f>Parameters!$C$141*(1+Parameters!$C$10)^17</f>
        <v>30000</v>
      </c>
      <c r="V39" s="25">
        <f>Parameters!$C$141*(1+Parameters!$C$10)^18</f>
        <v>30000</v>
      </c>
      <c r="W39" s="25">
        <f>Parameters!$C$141*(1+Parameters!$C$10)^19</f>
        <v>30000</v>
      </c>
      <c r="X39" s="25">
        <f>Parameters!$C$141*(1+Parameters!$C$10)^20</f>
        <v>30000</v>
      </c>
      <c r="Y39" s="25">
        <f>Parameters!$C$141*(1+Parameters!$C$10)^21</f>
        <v>30000</v>
      </c>
      <c r="Z39" s="25">
        <f>Parameters!$C$141*(1+Parameters!$C$10)^22</f>
        <v>30000</v>
      </c>
      <c r="AA39" s="25">
        <f>Parameters!$C$141*(1+Parameters!$C$10)^23</f>
        <v>30000</v>
      </c>
      <c r="AB39" s="25">
        <f>Parameters!$C$141*(1+Parameters!$C$10)^24</f>
        <v>30000</v>
      </c>
      <c r="AC39" s="25">
        <f>Parameters!$C$141*(1+Parameters!$C$10)^25</f>
        <v>30000</v>
      </c>
      <c r="AD39" s="25">
        <f>Parameters!$C$141*(1+Parameters!$C$10)^26</f>
        <v>30000</v>
      </c>
      <c r="AE39" s="25">
        <f>Parameters!$C$141*(1+Parameters!$C$10)^27</f>
        <v>30000</v>
      </c>
      <c r="AF39" s="25">
        <f>Parameters!$C$141*(1+Parameters!$C$10)^28</f>
        <v>30000</v>
      </c>
      <c r="AG39" s="25">
        <f>Parameters!$C$141*(1+Parameters!$C$10)^29</f>
        <v>30000</v>
      </c>
    </row>
    <row r="40" spans="2:33" ht="15" customHeight="1" x14ac:dyDescent="0.2">
      <c r="B40" t="s">
        <v>659</v>
      </c>
      <c r="D40" s="25">
        <f>Parameters!$C$142*(1+Parameters!$C$10)^0</f>
        <v>15000</v>
      </c>
      <c r="E40" s="25">
        <f>Parameters!$C$142*(1+Parameters!$C$10)^1</f>
        <v>15000</v>
      </c>
      <c r="F40" s="25">
        <f>Parameters!$C$142*(1+Parameters!$C$10)^2</f>
        <v>15000</v>
      </c>
      <c r="G40" s="25">
        <f>Parameters!$C$142*(1+Parameters!$C$10)^3</f>
        <v>15000</v>
      </c>
      <c r="H40" s="25">
        <f>Parameters!$C$142*(1+Parameters!$C$10)^4</f>
        <v>15000</v>
      </c>
      <c r="I40" s="25">
        <f>Parameters!$C$142*(1+Parameters!$C$10)^5</f>
        <v>15000</v>
      </c>
      <c r="J40" s="25">
        <f>Parameters!$C$142*(1+Parameters!$C$10)^6</f>
        <v>15000</v>
      </c>
      <c r="K40" s="25">
        <f>Parameters!$C$142*(1+Parameters!$C$10)^7</f>
        <v>15000</v>
      </c>
      <c r="L40" s="25">
        <f>Parameters!$C$142*(1+Parameters!$C$10)^8</f>
        <v>15000</v>
      </c>
      <c r="M40" s="25">
        <f>Parameters!$C$142*(1+Parameters!$C$10)^9</f>
        <v>15000</v>
      </c>
      <c r="N40" s="25">
        <f>Parameters!$C$142*(1+Parameters!$C$10)^10</f>
        <v>15000</v>
      </c>
      <c r="O40" s="25">
        <f>Parameters!$C$142*(1+Parameters!$C$10)^11</f>
        <v>15000</v>
      </c>
      <c r="P40" s="25">
        <f>Parameters!$C$142*(1+Parameters!$C$10)^12</f>
        <v>15000</v>
      </c>
      <c r="Q40" s="25">
        <f>Parameters!$C$142*(1+Parameters!$C$10)^13</f>
        <v>15000</v>
      </c>
      <c r="R40" s="25">
        <f>Parameters!$C$142*(1+Parameters!$C$10)^14</f>
        <v>15000</v>
      </c>
      <c r="S40" s="25">
        <f>Parameters!$C$142*(1+Parameters!$C$10)^15</f>
        <v>15000</v>
      </c>
      <c r="T40" s="25">
        <f>Parameters!$C$142*(1+Parameters!$C$10)^16</f>
        <v>15000</v>
      </c>
      <c r="U40" s="25">
        <f>Parameters!$C$142*(1+Parameters!$C$10)^17</f>
        <v>15000</v>
      </c>
      <c r="V40" s="25">
        <f>Parameters!$C$142*(1+Parameters!$C$10)^18</f>
        <v>15000</v>
      </c>
      <c r="W40" s="25">
        <f>Parameters!$C$142*(1+Parameters!$C$10)^19</f>
        <v>15000</v>
      </c>
      <c r="X40" s="25">
        <f>Parameters!$C$142*(1+Parameters!$C$10)^20</f>
        <v>15000</v>
      </c>
      <c r="Y40" s="25">
        <f>Parameters!$C$142*(1+Parameters!$C$10)^21</f>
        <v>15000</v>
      </c>
      <c r="Z40" s="25">
        <f>Parameters!$C$142*(1+Parameters!$C$10)^22</f>
        <v>15000</v>
      </c>
      <c r="AA40" s="25">
        <f>Parameters!$C$142*(1+Parameters!$C$10)^23</f>
        <v>15000</v>
      </c>
      <c r="AB40" s="25">
        <f>Parameters!$C$142*(1+Parameters!$C$10)^24</f>
        <v>15000</v>
      </c>
      <c r="AC40" s="25">
        <f>Parameters!$C$142*(1+Parameters!$C$10)^25</f>
        <v>15000</v>
      </c>
      <c r="AD40" s="25">
        <f>Parameters!$C$142*(1+Parameters!$C$10)^26</f>
        <v>15000</v>
      </c>
      <c r="AE40" s="25">
        <f>Parameters!$C$142*(1+Parameters!$C$10)^27</f>
        <v>15000</v>
      </c>
      <c r="AF40" s="25">
        <f>Parameters!$C$142*(1+Parameters!$C$10)^28</f>
        <v>15000</v>
      </c>
      <c r="AG40" s="25">
        <f>Parameters!$C$142*(1+Parameters!$C$10)^29</f>
        <v>15000</v>
      </c>
    </row>
    <row r="41" spans="2:33" ht="15" customHeight="1" x14ac:dyDescent="0.2">
      <c r="B41" t="s">
        <v>468</v>
      </c>
      <c r="D41" s="25">
        <f>Parameters!$C$143*(1+Parameters!$C$10)^0</f>
        <v>50000</v>
      </c>
      <c r="E41" s="25">
        <f>Parameters!$C$143*(1+Parameters!$C$10)^1</f>
        <v>50000</v>
      </c>
      <c r="F41" s="25">
        <f>Parameters!$C$143*(1+Parameters!$C$10)^2</f>
        <v>50000</v>
      </c>
      <c r="G41" s="25">
        <f>Parameters!$C$143*(1+Parameters!$C$10)^3</f>
        <v>50000</v>
      </c>
      <c r="H41" s="25">
        <f>Parameters!$C$143*(1+Parameters!$C$10)^4</f>
        <v>50000</v>
      </c>
      <c r="I41" s="25">
        <f>Parameters!$C$143*(1+Parameters!$C$10)^5</f>
        <v>50000</v>
      </c>
      <c r="J41" s="25">
        <f>Parameters!$C$143*(1+Parameters!$C$10)^6</f>
        <v>50000</v>
      </c>
      <c r="K41" s="25">
        <f>Parameters!$C$143*(1+Parameters!$C$10)^7</f>
        <v>50000</v>
      </c>
      <c r="L41" s="25">
        <f>Parameters!$C$143*(1+Parameters!$C$10)^8</f>
        <v>50000</v>
      </c>
      <c r="M41" s="25">
        <f>Parameters!$C$143*(1+Parameters!$C$10)^9</f>
        <v>50000</v>
      </c>
      <c r="N41" s="25">
        <f>Parameters!$C$143*(1+Parameters!$C$10)^10</f>
        <v>50000</v>
      </c>
      <c r="O41" s="25">
        <f>Parameters!$C$143*(1+Parameters!$C$10)^11</f>
        <v>50000</v>
      </c>
      <c r="P41" s="25">
        <f>Parameters!$C$143*(1+Parameters!$C$10)^12</f>
        <v>50000</v>
      </c>
      <c r="Q41" s="25">
        <f>Parameters!$C$143*(1+Parameters!$C$10)^13</f>
        <v>50000</v>
      </c>
      <c r="R41" s="25">
        <f>Parameters!$C$143*(1+Parameters!$C$10)^14</f>
        <v>50000</v>
      </c>
      <c r="S41" s="25">
        <f>Parameters!$C$143*(1+Parameters!$C$10)^15</f>
        <v>50000</v>
      </c>
      <c r="T41" s="25">
        <f>Parameters!$C$143*(1+Parameters!$C$10)^16</f>
        <v>50000</v>
      </c>
      <c r="U41" s="25">
        <f>Parameters!$C$143*(1+Parameters!$C$10)^17</f>
        <v>50000</v>
      </c>
      <c r="V41" s="25">
        <f>Parameters!$C$143*(1+Parameters!$C$10)^18</f>
        <v>50000</v>
      </c>
      <c r="W41" s="25">
        <f>Parameters!$C$143*(1+Parameters!$C$10)^19</f>
        <v>50000</v>
      </c>
      <c r="X41" s="25">
        <f>Parameters!$C$143*(1+Parameters!$C$10)^20</f>
        <v>50000</v>
      </c>
      <c r="Y41" s="25">
        <f>Parameters!$C$143*(1+Parameters!$C$10)^21</f>
        <v>50000</v>
      </c>
      <c r="Z41" s="25">
        <f>Parameters!$C$143*(1+Parameters!$C$10)^22</f>
        <v>50000</v>
      </c>
      <c r="AA41" s="25">
        <f>Parameters!$C$143*(1+Parameters!$C$10)^23</f>
        <v>50000</v>
      </c>
      <c r="AB41" s="25">
        <f>Parameters!$C$143*(1+Parameters!$C$10)^24</f>
        <v>50000</v>
      </c>
      <c r="AC41" s="25">
        <f>Parameters!$C$143*(1+Parameters!$C$10)^25</f>
        <v>50000</v>
      </c>
      <c r="AD41" s="25">
        <f>Parameters!$C$143*(1+Parameters!$C$10)^26</f>
        <v>50000</v>
      </c>
      <c r="AE41" s="25">
        <f>Parameters!$C$143*(1+Parameters!$C$10)^27</f>
        <v>50000</v>
      </c>
      <c r="AF41" s="25">
        <f>Parameters!$C$143*(1+Parameters!$C$10)^28</f>
        <v>50000</v>
      </c>
      <c r="AG41" s="25">
        <f>Parameters!$C$143*(1+Parameters!$C$10)^29</f>
        <v>50000</v>
      </c>
    </row>
    <row r="42" spans="2:33" ht="15" customHeight="1" x14ac:dyDescent="0.2">
      <c r="B42" t="s">
        <v>660</v>
      </c>
      <c r="D42" s="25">
        <f>Parameters!$C$144*(1+Parameters!$C$10)^0</f>
        <v>25000</v>
      </c>
      <c r="E42" s="25">
        <f>Parameters!$C$144*(1+Parameters!$C$10)^1</f>
        <v>25000</v>
      </c>
      <c r="F42" s="25">
        <f>Parameters!$C$144*(1+Parameters!$C$10)^2</f>
        <v>25000</v>
      </c>
      <c r="G42" s="25">
        <f>Parameters!$C$144*(1+Parameters!$C$10)^3</f>
        <v>25000</v>
      </c>
      <c r="H42" s="25">
        <f>Parameters!$C$144*(1+Parameters!$C$10)^4</f>
        <v>25000</v>
      </c>
      <c r="I42" s="25">
        <f>Parameters!$C$144*(1+Parameters!$C$10)^5</f>
        <v>25000</v>
      </c>
      <c r="J42" s="25">
        <f>Parameters!$C$144*(1+Parameters!$C$10)^6</f>
        <v>25000</v>
      </c>
      <c r="K42" s="25">
        <f>Parameters!$C$144*(1+Parameters!$C$10)^7</f>
        <v>25000</v>
      </c>
      <c r="L42" s="25">
        <f>Parameters!$C$144*(1+Parameters!$C$10)^8</f>
        <v>25000</v>
      </c>
      <c r="M42" s="25">
        <f>Parameters!$C$144*(1+Parameters!$C$10)^9</f>
        <v>25000</v>
      </c>
      <c r="N42" s="25">
        <f>Parameters!$C$144*(1+Parameters!$C$10)^10</f>
        <v>25000</v>
      </c>
      <c r="O42" s="25">
        <f>Parameters!$C$144*(1+Parameters!$C$10)^11</f>
        <v>25000</v>
      </c>
      <c r="P42" s="25">
        <f>Parameters!$C$144*(1+Parameters!$C$10)^12</f>
        <v>25000</v>
      </c>
      <c r="Q42" s="25">
        <f>Parameters!$C$144*(1+Parameters!$C$10)^13</f>
        <v>25000</v>
      </c>
      <c r="R42" s="25">
        <f>Parameters!$C$144*(1+Parameters!$C$10)^14</f>
        <v>25000</v>
      </c>
      <c r="S42" s="25">
        <f>Parameters!$C$144*(1+Parameters!$C$10)^15</f>
        <v>25000</v>
      </c>
      <c r="T42" s="25">
        <f>Parameters!$C$144*(1+Parameters!$C$10)^16</f>
        <v>25000</v>
      </c>
      <c r="U42" s="25">
        <f>Parameters!$C$144*(1+Parameters!$C$10)^17</f>
        <v>25000</v>
      </c>
      <c r="V42" s="25">
        <f>Parameters!$C$144*(1+Parameters!$C$10)^18</f>
        <v>25000</v>
      </c>
      <c r="W42" s="25">
        <f>Parameters!$C$144*(1+Parameters!$C$10)^19</f>
        <v>25000</v>
      </c>
      <c r="X42" s="25">
        <f>Parameters!$C$144*(1+Parameters!$C$10)^20</f>
        <v>25000</v>
      </c>
      <c r="Y42" s="25">
        <f>Parameters!$C$144*(1+Parameters!$C$10)^21</f>
        <v>25000</v>
      </c>
      <c r="Z42" s="25">
        <f>Parameters!$C$144*(1+Parameters!$C$10)^22</f>
        <v>25000</v>
      </c>
      <c r="AA42" s="25">
        <f>Parameters!$C$144*(1+Parameters!$C$10)^23</f>
        <v>25000</v>
      </c>
      <c r="AB42" s="25">
        <f>Parameters!$C$144*(1+Parameters!$C$10)^24</f>
        <v>25000</v>
      </c>
      <c r="AC42" s="25">
        <f>Parameters!$C$144*(1+Parameters!$C$10)^25</f>
        <v>25000</v>
      </c>
      <c r="AD42" s="25">
        <f>Parameters!$C$144*(1+Parameters!$C$10)^26</f>
        <v>25000</v>
      </c>
      <c r="AE42" s="25">
        <f>Parameters!$C$144*(1+Parameters!$C$10)^27</f>
        <v>25000</v>
      </c>
      <c r="AF42" s="25">
        <f>Parameters!$C$144*(1+Parameters!$C$10)^28</f>
        <v>25000</v>
      </c>
      <c r="AG42" s="25">
        <f>Parameters!$C$144*(1+Parameters!$C$10)^29</f>
        <v>25000</v>
      </c>
    </row>
    <row r="43" spans="2:33" ht="15" customHeight="1" x14ac:dyDescent="0.2">
      <c r="B43" s="63" t="s">
        <v>661</v>
      </c>
      <c r="C43" s="63"/>
      <c r="D43" s="64">
        <f t="shared" ref="D43:AG43" si="2">SUM(D38:D42)</f>
        <v>170000</v>
      </c>
      <c r="E43" s="64">
        <f t="shared" si="2"/>
        <v>170000</v>
      </c>
      <c r="F43" s="64">
        <f t="shared" si="2"/>
        <v>170000</v>
      </c>
      <c r="G43" s="64">
        <f t="shared" si="2"/>
        <v>170000</v>
      </c>
      <c r="H43" s="64">
        <f t="shared" si="2"/>
        <v>170000</v>
      </c>
      <c r="I43" s="64">
        <f t="shared" si="2"/>
        <v>170000</v>
      </c>
      <c r="J43" s="64">
        <f t="shared" si="2"/>
        <v>170000</v>
      </c>
      <c r="K43" s="64">
        <f t="shared" si="2"/>
        <v>170000</v>
      </c>
      <c r="L43" s="64">
        <f t="shared" si="2"/>
        <v>170000</v>
      </c>
      <c r="M43" s="64">
        <f t="shared" si="2"/>
        <v>170000</v>
      </c>
      <c r="N43" s="64">
        <f t="shared" si="2"/>
        <v>170000</v>
      </c>
      <c r="O43" s="64">
        <f t="shared" si="2"/>
        <v>170000</v>
      </c>
      <c r="P43" s="64">
        <f t="shared" si="2"/>
        <v>170000</v>
      </c>
      <c r="Q43" s="64">
        <f t="shared" si="2"/>
        <v>170000</v>
      </c>
      <c r="R43" s="64">
        <f t="shared" si="2"/>
        <v>170000</v>
      </c>
      <c r="S43" s="64">
        <f t="shared" si="2"/>
        <v>170000</v>
      </c>
      <c r="T43" s="64">
        <f t="shared" si="2"/>
        <v>170000</v>
      </c>
      <c r="U43" s="64">
        <f t="shared" si="2"/>
        <v>170000</v>
      </c>
      <c r="V43" s="64">
        <f t="shared" si="2"/>
        <v>170000</v>
      </c>
      <c r="W43" s="64">
        <f t="shared" si="2"/>
        <v>170000</v>
      </c>
      <c r="X43" s="64">
        <f t="shared" si="2"/>
        <v>170000</v>
      </c>
      <c r="Y43" s="64">
        <f t="shared" si="2"/>
        <v>170000</v>
      </c>
      <c r="Z43" s="64">
        <f t="shared" si="2"/>
        <v>170000</v>
      </c>
      <c r="AA43" s="64">
        <f t="shared" si="2"/>
        <v>170000</v>
      </c>
      <c r="AB43" s="64">
        <f t="shared" si="2"/>
        <v>170000</v>
      </c>
      <c r="AC43" s="64">
        <f t="shared" si="2"/>
        <v>170000</v>
      </c>
      <c r="AD43" s="64">
        <f t="shared" si="2"/>
        <v>170000</v>
      </c>
      <c r="AE43" s="64">
        <f t="shared" si="2"/>
        <v>170000</v>
      </c>
      <c r="AF43" s="64">
        <f t="shared" si="2"/>
        <v>170000</v>
      </c>
      <c r="AG43" s="64">
        <f t="shared" si="2"/>
        <v>170000</v>
      </c>
    </row>
    <row r="45" spans="2:33" ht="15" customHeight="1" x14ac:dyDescent="0.2">
      <c r="B45" s="63" t="s">
        <v>662</v>
      </c>
      <c r="C45" s="63"/>
      <c r="D45" s="64">
        <f t="shared" ref="D45:AG45" si="3">D16+D27+D30+D35+D43</f>
        <v>1164739</v>
      </c>
      <c r="E45" s="64">
        <f t="shared" si="3"/>
        <v>402739</v>
      </c>
      <c r="F45" s="64">
        <f t="shared" si="3"/>
        <v>402739</v>
      </c>
      <c r="G45" s="64">
        <f t="shared" si="3"/>
        <v>402739</v>
      </c>
      <c r="H45" s="64">
        <f t="shared" si="3"/>
        <v>702739</v>
      </c>
      <c r="I45" s="64">
        <f t="shared" si="3"/>
        <v>402739</v>
      </c>
      <c r="J45" s="64">
        <f t="shared" si="3"/>
        <v>402739</v>
      </c>
      <c r="K45" s="64">
        <f t="shared" si="3"/>
        <v>802739</v>
      </c>
      <c r="L45" s="64">
        <f t="shared" si="3"/>
        <v>402739</v>
      </c>
      <c r="M45" s="64">
        <f t="shared" si="3"/>
        <v>602739</v>
      </c>
      <c r="N45" s="64">
        <f t="shared" si="3"/>
        <v>402739</v>
      </c>
      <c r="O45" s="64">
        <f t="shared" si="3"/>
        <v>752739</v>
      </c>
      <c r="P45" s="64">
        <f t="shared" si="3"/>
        <v>402739</v>
      </c>
      <c r="Q45" s="64">
        <f t="shared" si="3"/>
        <v>402739</v>
      </c>
      <c r="R45" s="64">
        <f t="shared" si="3"/>
        <v>652739</v>
      </c>
      <c r="S45" s="64">
        <f t="shared" si="3"/>
        <v>402739</v>
      </c>
      <c r="T45" s="64">
        <f t="shared" si="3"/>
        <v>402739</v>
      </c>
      <c r="U45" s="64">
        <f t="shared" si="3"/>
        <v>552739</v>
      </c>
      <c r="V45" s="64">
        <f t="shared" si="3"/>
        <v>402739</v>
      </c>
      <c r="W45" s="64">
        <f t="shared" si="3"/>
        <v>402739</v>
      </c>
      <c r="X45" s="64">
        <f t="shared" si="3"/>
        <v>402739</v>
      </c>
      <c r="Y45" s="64">
        <f t="shared" si="3"/>
        <v>752739</v>
      </c>
      <c r="Z45" s="64">
        <f t="shared" si="3"/>
        <v>402739</v>
      </c>
      <c r="AA45" s="64">
        <f t="shared" si="3"/>
        <v>402739</v>
      </c>
      <c r="AB45" s="64">
        <f t="shared" si="3"/>
        <v>402739</v>
      </c>
      <c r="AC45" s="64">
        <f t="shared" si="3"/>
        <v>402739</v>
      </c>
      <c r="AD45" s="64">
        <f t="shared" si="3"/>
        <v>402739</v>
      </c>
      <c r="AE45" s="64">
        <f t="shared" si="3"/>
        <v>852739</v>
      </c>
      <c r="AF45" s="64">
        <f t="shared" si="3"/>
        <v>402739</v>
      </c>
      <c r="AG45" s="64">
        <f t="shared" si="3"/>
        <v>47751342.336675003</v>
      </c>
    </row>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34"/>
  <sheetViews>
    <sheetView zoomScaleNormal="100" workbookViewId="0">
      <pane xSplit="3" ySplit="6" topLeftCell="D7" activePane="bottomRight" state="frozen"/>
      <selection pane="topRight" activeCell="D1" sqref="D1"/>
      <selection pane="bottomLeft" activeCell="A7" sqref="A7"/>
      <selection pane="bottomRight"/>
    </sheetView>
  </sheetViews>
  <sheetFormatPr baseColWidth="10" defaultColWidth="8.6640625" defaultRowHeight="15" x14ac:dyDescent="0.2"/>
  <cols>
    <col min="1" max="1" width="4" customWidth="1"/>
    <col min="2" max="2" width="42" customWidth="1"/>
    <col min="3" max="3" width="14" customWidth="1"/>
    <col min="4" max="4" width="18" customWidth="1"/>
    <col min="5" max="5" width="19.6640625" customWidth="1"/>
    <col min="6" max="6" width="17.1640625" customWidth="1"/>
    <col min="7" max="7" width="15.1640625" customWidth="1"/>
    <col min="8" max="8" width="14.6640625" customWidth="1"/>
    <col min="9" max="33" width="11" customWidth="1"/>
  </cols>
  <sheetData>
    <row r="1" spans="2:33" ht="17.25" customHeight="1" x14ac:dyDescent="0.2">
      <c r="B1" s="11" t="s">
        <v>663</v>
      </c>
    </row>
    <row r="2" spans="2:33" ht="30" customHeight="1" x14ac:dyDescent="0.2">
      <c r="B2" s="85" t="s">
        <v>664</v>
      </c>
    </row>
    <row r="4" spans="2:33" ht="15" customHeight="1" x14ac:dyDescent="0.2">
      <c r="B4" s="86" t="s">
        <v>631</v>
      </c>
      <c r="D4" s="87" t="s">
        <v>567</v>
      </c>
      <c r="E4" s="88" t="s">
        <v>632</v>
      </c>
      <c r="F4" s="87" t="s">
        <v>665</v>
      </c>
      <c r="G4" s="88" t="s">
        <v>634</v>
      </c>
      <c r="H4" s="87" t="s">
        <v>635</v>
      </c>
      <c r="I4" s="89"/>
    </row>
    <row r="5" spans="2:33" ht="15" customHeight="1" x14ac:dyDescent="0.2">
      <c r="D5" s="90">
        <f>-NPV(Parameters!$C$9,D32:AG32)</f>
        <v>-57814686.019570529</v>
      </c>
      <c r="E5" s="93">
        <f>-NPV(Parameters!$C$9,D34:AG34)</f>
        <v>-50999189.009898253</v>
      </c>
      <c r="F5" s="90">
        <f>-C24</f>
        <v>-47348603.336675003</v>
      </c>
      <c r="G5" s="94">
        <f>C23</f>
        <v>46848603.336675003</v>
      </c>
      <c r="H5" s="91">
        <f>PMT(Parameters!$C$14,Parameters!$C$15,-C23)</f>
        <v>2876108.0419511436</v>
      </c>
      <c r="I5" s="95"/>
    </row>
    <row r="6" spans="2:33" ht="15" customHeight="1" x14ac:dyDescent="0.2">
      <c r="B6" s="48" t="s">
        <v>636</v>
      </c>
      <c r="C6" s="48" t="s">
        <v>637</v>
      </c>
      <c r="D6" s="79">
        <f>Parameters!$C$8+0</f>
        <v>2027</v>
      </c>
      <c r="E6" s="79">
        <f>Parameters!$C$8+1</f>
        <v>2028</v>
      </c>
      <c r="F6" s="79">
        <f>Parameters!$C$8+2</f>
        <v>2029</v>
      </c>
      <c r="G6" s="79">
        <f>Parameters!$C$8+3</f>
        <v>2030</v>
      </c>
      <c r="H6" s="79">
        <f>Parameters!$C$8+4</f>
        <v>2031</v>
      </c>
      <c r="I6" s="79">
        <f>Parameters!$C$8+5</f>
        <v>2032</v>
      </c>
      <c r="J6" s="79">
        <f>Parameters!$C$8+6</f>
        <v>2033</v>
      </c>
      <c r="K6" s="79">
        <f>Parameters!$C$8+7</f>
        <v>2034</v>
      </c>
      <c r="L6" s="79">
        <f>Parameters!$C$8+8</f>
        <v>2035</v>
      </c>
      <c r="M6" s="79">
        <f>Parameters!$C$8+9</f>
        <v>2036</v>
      </c>
      <c r="N6" s="79">
        <f>Parameters!$C$8+10</f>
        <v>2037</v>
      </c>
      <c r="O6" s="79">
        <f>Parameters!$C$8+11</f>
        <v>2038</v>
      </c>
      <c r="P6" s="79">
        <f>Parameters!$C$8+12</f>
        <v>2039</v>
      </c>
      <c r="Q6" s="79">
        <f>Parameters!$C$8+13</f>
        <v>2040</v>
      </c>
      <c r="R6" s="79">
        <f>Parameters!$C$8+14</f>
        <v>2041</v>
      </c>
      <c r="S6" s="79">
        <f>Parameters!$C$8+15</f>
        <v>2042</v>
      </c>
      <c r="T6" s="79">
        <f>Parameters!$C$8+16</f>
        <v>2043</v>
      </c>
      <c r="U6" s="79">
        <f>Parameters!$C$8+17</f>
        <v>2044</v>
      </c>
      <c r="V6" s="79">
        <f>Parameters!$C$8+18</f>
        <v>2045</v>
      </c>
      <c r="W6" s="79">
        <f>Parameters!$C$8+19</f>
        <v>2046</v>
      </c>
      <c r="X6" s="79">
        <f>Parameters!$C$8+20</f>
        <v>2047</v>
      </c>
      <c r="Y6" s="79">
        <f>Parameters!$C$8+21</f>
        <v>2048</v>
      </c>
      <c r="Z6" s="79">
        <f>Parameters!$C$8+22</f>
        <v>2049</v>
      </c>
      <c r="AA6" s="79">
        <f>Parameters!$C$8+23</f>
        <v>2050</v>
      </c>
      <c r="AB6" s="79">
        <f>Parameters!$C$8+24</f>
        <v>2051</v>
      </c>
      <c r="AC6" s="79">
        <f>Parameters!$C$8+25</f>
        <v>2052</v>
      </c>
      <c r="AD6" s="79">
        <f>Parameters!$C$8+26</f>
        <v>2053</v>
      </c>
      <c r="AE6" s="79">
        <f>Parameters!$C$8+27</f>
        <v>2054</v>
      </c>
      <c r="AF6" s="79">
        <f>Parameters!$C$8+28</f>
        <v>2055</v>
      </c>
      <c r="AG6" s="79">
        <f>Parameters!$C$8+29</f>
        <v>2056</v>
      </c>
    </row>
    <row r="7" spans="2:33" ht="15" customHeight="1" x14ac:dyDescent="0.2">
      <c r="B7" s="16" t="s">
        <v>666</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2:33" ht="15" customHeight="1" x14ac:dyDescent="0.2">
      <c r="B8" t="s">
        <v>667</v>
      </c>
      <c r="C8" s="96">
        <f>Parameters!$C$110</f>
        <v>750000</v>
      </c>
    </row>
    <row r="9" spans="2:33" ht="15" customHeight="1" x14ac:dyDescent="0.2">
      <c r="B9" t="s">
        <v>668</v>
      </c>
      <c r="C9" s="18">
        <f>Parameters!$C$77</f>
        <v>32677719</v>
      </c>
    </row>
    <row r="10" spans="2:33" ht="15" customHeight="1" x14ac:dyDescent="0.2">
      <c r="B10" t="s">
        <v>669</v>
      </c>
      <c r="C10" s="18">
        <f>Parameters!$C$78</f>
        <v>625823</v>
      </c>
    </row>
    <row r="11" spans="2:33" ht="15" customHeight="1" x14ac:dyDescent="0.2">
      <c r="B11" t="s">
        <v>670</v>
      </c>
      <c r="C11" s="18">
        <f>Parameters!$C$79</f>
        <v>5268977</v>
      </c>
    </row>
    <row r="12" spans="2:33" ht="15" customHeight="1" x14ac:dyDescent="0.2">
      <c r="B12" t="s">
        <v>671</v>
      </c>
      <c r="C12" s="18">
        <f>Parameters!$C$80</f>
        <v>1000000</v>
      </c>
    </row>
    <row r="13" spans="2:33" ht="15" customHeight="1" x14ac:dyDescent="0.2">
      <c r="B13" t="s">
        <v>672</v>
      </c>
      <c r="C13" s="25">
        <f>Parameters!$C$81*Parameters!$C$82</f>
        <v>0</v>
      </c>
    </row>
    <row r="14" spans="2:33" ht="15" customHeight="1" x14ac:dyDescent="0.2">
      <c r="B14" s="63" t="s">
        <v>673</v>
      </c>
      <c r="C14" s="64">
        <f>SUM(C8:C13)</f>
        <v>40322519</v>
      </c>
    </row>
    <row r="15" spans="2:33" ht="15" customHeight="1" x14ac:dyDescent="0.2">
      <c r="B15" t="s">
        <v>394</v>
      </c>
      <c r="C15" s="25">
        <f>(C14-C8)*Parameters!$C$98</f>
        <v>2967938.9249999998</v>
      </c>
    </row>
    <row r="16" spans="2:33" ht="15" customHeight="1" x14ac:dyDescent="0.2">
      <c r="B16" t="s">
        <v>396</v>
      </c>
      <c r="C16" s="25">
        <f>(C14-C8)*Parameters!$C$99</f>
        <v>1978625.9500000002</v>
      </c>
    </row>
    <row r="17" spans="2:33" ht="15" customHeight="1" x14ac:dyDescent="0.2">
      <c r="B17" t="s">
        <v>674</v>
      </c>
      <c r="C17" s="25">
        <f>(C14-C8)*Parameters!$C$100</f>
        <v>1187175.57</v>
      </c>
    </row>
    <row r="18" spans="2:33" ht="15" customHeight="1" x14ac:dyDescent="0.2">
      <c r="B18" t="s">
        <v>402</v>
      </c>
      <c r="C18" s="18">
        <f>Parameters!$C$102</f>
        <v>200000</v>
      </c>
    </row>
    <row r="19" spans="2:33" ht="15" customHeight="1" x14ac:dyDescent="0.2">
      <c r="B19" t="s">
        <v>675</v>
      </c>
      <c r="C19" s="18">
        <f>Parameters!$C$103</f>
        <v>0</v>
      </c>
    </row>
    <row r="20" spans="2:33" ht="15" customHeight="1" x14ac:dyDescent="0.2">
      <c r="B20" s="63" t="s">
        <v>676</v>
      </c>
      <c r="C20" s="64">
        <f>C14+SUM(C15:C19)</f>
        <v>46656259.445</v>
      </c>
    </row>
    <row r="21" spans="2:33" ht="15" customHeight="1" x14ac:dyDescent="0.2">
      <c r="B21" t="s">
        <v>677</v>
      </c>
      <c r="C21" s="18">
        <f>-Parameters!$C$149</f>
        <v>-500000</v>
      </c>
    </row>
    <row r="22" spans="2:33" ht="15" customHeight="1" x14ac:dyDescent="0.2">
      <c r="B22" t="s">
        <v>678</v>
      </c>
      <c r="C22" s="25">
        <f>(C20+C21)*Parameters!$C$101</f>
        <v>692343.89167499996</v>
      </c>
    </row>
    <row r="23" spans="2:33" ht="15" customHeight="1" x14ac:dyDescent="0.2">
      <c r="B23" s="63" t="s">
        <v>679</v>
      </c>
      <c r="C23" s="64">
        <f>C20+C21+C22</f>
        <v>46848603.336675003</v>
      </c>
    </row>
    <row r="24" spans="2:33" ht="15" customHeight="1" x14ac:dyDescent="0.2">
      <c r="B24" s="63" t="s">
        <v>49</v>
      </c>
      <c r="C24" s="64">
        <f>C20+C22</f>
        <v>47348603.336675003</v>
      </c>
    </row>
    <row r="26" spans="2:33" ht="15" customHeight="1" x14ac:dyDescent="0.2">
      <c r="B26" s="16" t="s">
        <v>680</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2:33" ht="15" customHeight="1" x14ac:dyDescent="0.2">
      <c r="B27" t="s">
        <v>579</v>
      </c>
      <c r="D27" s="25">
        <f>IF(1&lt;=Parameters!$C$15, PMT(Parameters!$C$14, Parameters!$C$15, -C23), 0)</f>
        <v>2876108.0419511436</v>
      </c>
      <c r="E27" s="25">
        <f>IF(2&lt;=Parameters!$C$15, PMT(Parameters!$C$14, Parameters!$C$15, -C23), 0)</f>
        <v>2876108.0419511436</v>
      </c>
      <c r="F27" s="25">
        <f>IF(3&lt;=Parameters!$C$15, PMT(Parameters!$C$14, Parameters!$C$15, -C23), 0)</f>
        <v>2876108.0419511436</v>
      </c>
      <c r="G27" s="25">
        <f>IF(4&lt;=Parameters!$C$15, PMT(Parameters!$C$14, Parameters!$C$15, -C23), 0)</f>
        <v>2876108.0419511436</v>
      </c>
      <c r="H27" s="25">
        <f>IF(5&lt;=Parameters!$C$15, PMT(Parameters!$C$14, Parameters!$C$15, -C23), 0)</f>
        <v>2876108.0419511436</v>
      </c>
      <c r="I27" s="25">
        <f>IF(6&lt;=Parameters!$C$15, PMT(Parameters!$C$14, Parameters!$C$15, -C23), 0)</f>
        <v>2876108.0419511436</v>
      </c>
      <c r="J27" s="25">
        <f>IF(7&lt;=Parameters!$C$15, PMT(Parameters!$C$14, Parameters!$C$15, -C23), 0)</f>
        <v>2876108.0419511436</v>
      </c>
      <c r="K27" s="25">
        <f>IF(8&lt;=Parameters!$C$15, PMT(Parameters!$C$14, Parameters!$C$15, -C23), 0)</f>
        <v>2876108.0419511436</v>
      </c>
      <c r="L27" s="25">
        <f>IF(9&lt;=Parameters!$C$15, PMT(Parameters!$C$14, Parameters!$C$15, -C23), 0)</f>
        <v>2876108.0419511436</v>
      </c>
      <c r="M27" s="25">
        <f>IF(10&lt;=Parameters!$C$15, PMT(Parameters!$C$14, Parameters!$C$15, -C23), 0)</f>
        <v>2876108.0419511436</v>
      </c>
      <c r="N27" s="25">
        <f>IF(11&lt;=Parameters!$C$15, PMT(Parameters!$C$14, Parameters!$C$15, -C23), 0)</f>
        <v>2876108.0419511436</v>
      </c>
      <c r="O27" s="25">
        <f>IF(12&lt;=Parameters!$C$15, PMT(Parameters!$C$14, Parameters!$C$15, -C23), 0)</f>
        <v>2876108.0419511436</v>
      </c>
      <c r="P27" s="25">
        <f>IF(13&lt;=Parameters!$C$15, PMT(Parameters!$C$14, Parameters!$C$15, -C23), 0)</f>
        <v>2876108.0419511436</v>
      </c>
      <c r="Q27" s="25">
        <f>IF(14&lt;=Parameters!$C$15, PMT(Parameters!$C$14, Parameters!$C$15, -C23), 0)</f>
        <v>2876108.0419511436</v>
      </c>
      <c r="R27" s="25">
        <f>IF(15&lt;=Parameters!$C$15, PMT(Parameters!$C$14, Parameters!$C$15, -C23), 0)</f>
        <v>2876108.0419511436</v>
      </c>
      <c r="S27" s="25">
        <f>IF(16&lt;=Parameters!$C$15, PMT(Parameters!$C$14, Parameters!$C$15, -C23), 0)</f>
        <v>2876108.0419511436</v>
      </c>
      <c r="T27" s="25">
        <f>IF(17&lt;=Parameters!$C$15, PMT(Parameters!$C$14, Parameters!$C$15, -C23), 0)</f>
        <v>2876108.0419511436</v>
      </c>
      <c r="U27" s="25">
        <f>IF(18&lt;=Parameters!$C$15, PMT(Parameters!$C$14, Parameters!$C$15, -C23), 0)</f>
        <v>2876108.0419511436</v>
      </c>
      <c r="V27" s="25">
        <f>IF(19&lt;=Parameters!$C$15, PMT(Parameters!$C$14, Parameters!$C$15, -C23), 0)</f>
        <v>2876108.0419511436</v>
      </c>
      <c r="W27" s="25">
        <f>IF(20&lt;=Parameters!$C$15, PMT(Parameters!$C$14, Parameters!$C$15, -C23), 0)</f>
        <v>2876108.0419511436</v>
      </c>
      <c r="X27" s="25">
        <f>IF(21&lt;=Parameters!$C$15, PMT(Parameters!$C$14, Parameters!$C$15, -C23), 0)</f>
        <v>2876108.0419511436</v>
      </c>
      <c r="Y27" s="25">
        <f>IF(22&lt;=Parameters!$C$15, PMT(Parameters!$C$14, Parameters!$C$15, -C23), 0)</f>
        <v>2876108.0419511436</v>
      </c>
      <c r="Z27" s="25">
        <f>IF(23&lt;=Parameters!$C$15, PMT(Parameters!$C$14, Parameters!$C$15, -C23), 0)</f>
        <v>2876108.0419511436</v>
      </c>
      <c r="AA27" s="25">
        <f>IF(24&lt;=Parameters!$C$15, PMT(Parameters!$C$14, Parameters!$C$15, -C23), 0)</f>
        <v>2876108.0419511436</v>
      </c>
      <c r="AB27" s="25">
        <f>IF(25&lt;=Parameters!$C$15, PMT(Parameters!$C$14, Parameters!$C$15, -C23), 0)</f>
        <v>2876108.0419511436</v>
      </c>
      <c r="AC27" s="25">
        <f>IF(26&lt;=Parameters!$C$15, PMT(Parameters!$C$14, Parameters!$C$15, -C23), 0)</f>
        <v>2876108.0419511436</v>
      </c>
      <c r="AD27" s="25">
        <f>IF(27&lt;=Parameters!$C$15, PMT(Parameters!$C$14, Parameters!$C$15, -C23), 0)</f>
        <v>2876108.0419511436</v>
      </c>
      <c r="AE27" s="25">
        <f>IF(28&lt;=Parameters!$C$15, PMT(Parameters!$C$14, Parameters!$C$15, -C23), 0)</f>
        <v>2876108.0419511436</v>
      </c>
      <c r="AF27" s="25">
        <f>IF(29&lt;=Parameters!$C$15, PMT(Parameters!$C$14, Parameters!$C$15, -C23), 0)</f>
        <v>2876108.0419511436</v>
      </c>
      <c r="AG27" s="25">
        <f>IF(30&lt;=Parameters!$C$15, PMT(Parameters!$C$14, Parameters!$C$15, -C23), 0)</f>
        <v>2876108.0419511436</v>
      </c>
    </row>
    <row r="28" spans="2:33" ht="15" customHeight="1" x14ac:dyDescent="0.2">
      <c r="B28" t="s">
        <v>681</v>
      </c>
      <c r="D28" s="25">
        <f>IF(1&lt;=Parameters!$C$150, (Parameters!$C$57+Parameters!$C$64)*(1+Parameters!$C$12)^0, 0)</f>
        <v>232739</v>
      </c>
      <c r="E28" s="25">
        <f>IF(2&lt;=Parameters!$C$150, (Parameters!$C$57+Parameters!$C$64)*(1+Parameters!$C$12)^1, 0)</f>
        <v>232739</v>
      </c>
      <c r="F28" s="25">
        <f>IF(3&lt;=Parameters!$C$150, (Parameters!$C$57+Parameters!$C$64)*(1+Parameters!$C$12)^2, 0)</f>
        <v>0</v>
      </c>
      <c r="G28" s="25">
        <f>IF(4&lt;=Parameters!$C$150, (Parameters!$C$57+Parameters!$C$64)*(1+Parameters!$C$12)^3, 0)</f>
        <v>0</v>
      </c>
      <c r="H28" s="25">
        <f>IF(5&lt;=Parameters!$C$150, (Parameters!$C$57+Parameters!$C$64)*(1+Parameters!$C$12)^4, 0)</f>
        <v>0</v>
      </c>
      <c r="I28" s="25">
        <f>IF(6&lt;=Parameters!$C$150, (Parameters!$C$57+Parameters!$C$64)*(1+Parameters!$C$12)^5, 0)</f>
        <v>0</v>
      </c>
      <c r="J28" s="25">
        <f>IF(7&lt;=Parameters!$C$150, (Parameters!$C$57+Parameters!$C$64)*(1+Parameters!$C$12)^6, 0)</f>
        <v>0</v>
      </c>
      <c r="K28" s="25">
        <f>IF(8&lt;=Parameters!$C$150, (Parameters!$C$57+Parameters!$C$64)*(1+Parameters!$C$12)^7, 0)</f>
        <v>0</v>
      </c>
      <c r="L28" s="25">
        <f>IF(9&lt;=Parameters!$C$150, (Parameters!$C$57+Parameters!$C$64)*(1+Parameters!$C$12)^8, 0)</f>
        <v>0</v>
      </c>
      <c r="M28" s="25">
        <f>IF(10&lt;=Parameters!$C$150, (Parameters!$C$57+Parameters!$C$64)*(1+Parameters!$C$12)^9, 0)</f>
        <v>0</v>
      </c>
      <c r="N28" s="25">
        <f>IF(11&lt;=Parameters!$C$150, (Parameters!$C$57+Parameters!$C$64)*(1+Parameters!$C$12)^10, 0)</f>
        <v>0</v>
      </c>
      <c r="O28" s="25">
        <f>IF(12&lt;=Parameters!$C$150, (Parameters!$C$57+Parameters!$C$64)*(1+Parameters!$C$12)^11, 0)</f>
        <v>0</v>
      </c>
      <c r="P28" s="25">
        <f>IF(13&lt;=Parameters!$C$150, (Parameters!$C$57+Parameters!$C$64)*(1+Parameters!$C$12)^12, 0)</f>
        <v>0</v>
      </c>
      <c r="Q28" s="25">
        <f>IF(14&lt;=Parameters!$C$150, (Parameters!$C$57+Parameters!$C$64)*(1+Parameters!$C$12)^13, 0)</f>
        <v>0</v>
      </c>
      <c r="R28" s="25">
        <f>IF(15&lt;=Parameters!$C$150, (Parameters!$C$57+Parameters!$C$64)*(1+Parameters!$C$12)^14, 0)</f>
        <v>0</v>
      </c>
      <c r="S28" s="25">
        <f>IF(16&lt;=Parameters!$C$150, (Parameters!$C$57+Parameters!$C$64)*(1+Parameters!$C$12)^15, 0)</f>
        <v>0</v>
      </c>
      <c r="T28" s="25">
        <f>IF(17&lt;=Parameters!$C$150, (Parameters!$C$57+Parameters!$C$64)*(1+Parameters!$C$12)^16, 0)</f>
        <v>0</v>
      </c>
      <c r="U28" s="25">
        <f>IF(18&lt;=Parameters!$C$150, (Parameters!$C$57+Parameters!$C$64)*(1+Parameters!$C$12)^17, 0)</f>
        <v>0</v>
      </c>
      <c r="V28" s="25">
        <f>IF(19&lt;=Parameters!$C$150, (Parameters!$C$57+Parameters!$C$64)*(1+Parameters!$C$12)^18, 0)</f>
        <v>0</v>
      </c>
      <c r="W28" s="25">
        <f>IF(20&lt;=Parameters!$C$150, (Parameters!$C$57+Parameters!$C$64)*(1+Parameters!$C$12)^19, 0)</f>
        <v>0</v>
      </c>
      <c r="X28" s="25">
        <f>IF(21&lt;=Parameters!$C$150, (Parameters!$C$57+Parameters!$C$64)*(1+Parameters!$C$12)^20, 0)</f>
        <v>0</v>
      </c>
      <c r="Y28" s="25">
        <f>IF(22&lt;=Parameters!$C$150, (Parameters!$C$57+Parameters!$C$64)*(1+Parameters!$C$12)^21, 0)</f>
        <v>0</v>
      </c>
      <c r="Z28" s="25">
        <f>IF(23&lt;=Parameters!$C$150, (Parameters!$C$57+Parameters!$C$64)*(1+Parameters!$C$12)^22, 0)</f>
        <v>0</v>
      </c>
      <c r="AA28" s="25">
        <f>IF(24&lt;=Parameters!$C$150, (Parameters!$C$57+Parameters!$C$64)*(1+Parameters!$C$12)^23, 0)</f>
        <v>0</v>
      </c>
      <c r="AB28" s="25">
        <f>IF(25&lt;=Parameters!$C$150, (Parameters!$C$57+Parameters!$C$64)*(1+Parameters!$C$12)^24, 0)</f>
        <v>0</v>
      </c>
      <c r="AC28" s="25">
        <f>IF(26&lt;=Parameters!$C$150, (Parameters!$C$57+Parameters!$C$64)*(1+Parameters!$C$12)^25, 0)</f>
        <v>0</v>
      </c>
      <c r="AD28" s="25">
        <f>IF(27&lt;=Parameters!$C$150, (Parameters!$C$57+Parameters!$C$64)*(1+Parameters!$C$12)^26, 0)</f>
        <v>0</v>
      </c>
      <c r="AE28" s="25">
        <f>IF(28&lt;=Parameters!$C$150, (Parameters!$C$57+Parameters!$C$64)*(1+Parameters!$C$12)^27, 0)</f>
        <v>0</v>
      </c>
      <c r="AF28" s="25">
        <f>IF(29&lt;=Parameters!$C$150, (Parameters!$C$57+Parameters!$C$64)*(1+Parameters!$C$12)^28, 0)</f>
        <v>0</v>
      </c>
      <c r="AG28" s="25">
        <f>IF(30&lt;=Parameters!$C$150, (Parameters!$C$57+Parameters!$C$64)*(1+Parameters!$C$12)^29, 0)</f>
        <v>0</v>
      </c>
    </row>
    <row r="29" spans="2:33" ht="15" customHeight="1" x14ac:dyDescent="0.2">
      <c r="B29" t="s">
        <v>682</v>
      </c>
      <c r="D29" s="25">
        <f>IF(1&gt;Parameters!$C$150, Parameters!$C$83*Parameters!$C$154*(1+Parameters!$C$12)^0, 0)</f>
        <v>0</v>
      </c>
      <c r="E29" s="25">
        <f>IF(2&gt;Parameters!$C$150, Parameters!$C$83*Parameters!$C$154*(1+Parameters!$C$12)^1, 0)</f>
        <v>0</v>
      </c>
      <c r="F29" s="25">
        <f>IF(3&gt;Parameters!$C$150, Parameters!$C$83*Parameters!$C$154*(1+Parameters!$C$12)^2, 0)</f>
        <v>550000</v>
      </c>
      <c r="G29" s="25">
        <f>IF(4&gt;Parameters!$C$150, Parameters!$C$83*Parameters!$C$154*(1+Parameters!$C$12)^3, 0)</f>
        <v>550000</v>
      </c>
      <c r="H29" s="25">
        <f>IF(5&gt;Parameters!$C$150, Parameters!$C$83*Parameters!$C$154*(1+Parameters!$C$12)^4, 0)</f>
        <v>550000</v>
      </c>
      <c r="I29" s="25">
        <f>IF(6&gt;Parameters!$C$150, Parameters!$C$83*Parameters!$C$154*(1+Parameters!$C$12)^5, 0)</f>
        <v>550000</v>
      </c>
      <c r="J29" s="25">
        <f>IF(7&gt;Parameters!$C$150, Parameters!$C$83*Parameters!$C$154*(1+Parameters!$C$12)^6, 0)</f>
        <v>550000</v>
      </c>
      <c r="K29" s="25">
        <f>IF(8&gt;Parameters!$C$150, Parameters!$C$83*Parameters!$C$154*(1+Parameters!$C$12)^7, 0)</f>
        <v>550000</v>
      </c>
      <c r="L29" s="25">
        <f>IF(9&gt;Parameters!$C$150, Parameters!$C$83*Parameters!$C$154*(1+Parameters!$C$12)^8, 0)</f>
        <v>550000</v>
      </c>
      <c r="M29" s="25">
        <f>IF(10&gt;Parameters!$C$150, Parameters!$C$83*Parameters!$C$154*(1+Parameters!$C$12)^9, 0)</f>
        <v>550000</v>
      </c>
      <c r="N29" s="25">
        <f>IF(11&gt;Parameters!$C$150, Parameters!$C$83*Parameters!$C$154*(1+Parameters!$C$12)^10, 0)</f>
        <v>550000</v>
      </c>
      <c r="O29" s="25">
        <f>IF(12&gt;Parameters!$C$150, Parameters!$C$83*Parameters!$C$154*(1+Parameters!$C$12)^11, 0)</f>
        <v>550000</v>
      </c>
      <c r="P29" s="25">
        <f>IF(13&gt;Parameters!$C$150, Parameters!$C$83*Parameters!$C$154*(1+Parameters!$C$12)^12, 0)</f>
        <v>550000</v>
      </c>
      <c r="Q29" s="25">
        <f>IF(14&gt;Parameters!$C$150, Parameters!$C$83*Parameters!$C$154*(1+Parameters!$C$12)^13, 0)</f>
        <v>550000</v>
      </c>
      <c r="R29" s="25">
        <f>IF(15&gt;Parameters!$C$150, Parameters!$C$83*Parameters!$C$154*(1+Parameters!$C$12)^14, 0)</f>
        <v>550000</v>
      </c>
      <c r="S29" s="25">
        <f>IF(16&gt;Parameters!$C$150, Parameters!$C$83*Parameters!$C$154*(1+Parameters!$C$12)^15, 0)</f>
        <v>550000</v>
      </c>
      <c r="T29" s="25">
        <f>IF(17&gt;Parameters!$C$150, Parameters!$C$83*Parameters!$C$154*(1+Parameters!$C$12)^16, 0)</f>
        <v>550000</v>
      </c>
      <c r="U29" s="25">
        <f>IF(18&gt;Parameters!$C$150, Parameters!$C$83*Parameters!$C$154*(1+Parameters!$C$12)^17, 0)</f>
        <v>550000</v>
      </c>
      <c r="V29" s="25">
        <f>IF(19&gt;Parameters!$C$150, Parameters!$C$83*Parameters!$C$154*(1+Parameters!$C$12)^18, 0)</f>
        <v>550000</v>
      </c>
      <c r="W29" s="25">
        <f>IF(20&gt;Parameters!$C$150, Parameters!$C$83*Parameters!$C$154*(1+Parameters!$C$12)^19, 0)</f>
        <v>550000</v>
      </c>
      <c r="X29" s="25">
        <f>IF(21&gt;Parameters!$C$150, Parameters!$C$83*Parameters!$C$154*(1+Parameters!$C$12)^20, 0)</f>
        <v>550000</v>
      </c>
      <c r="Y29" s="25">
        <f>IF(22&gt;Parameters!$C$150, Parameters!$C$83*Parameters!$C$154*(1+Parameters!$C$12)^21, 0)</f>
        <v>550000</v>
      </c>
      <c r="Z29" s="25">
        <f>IF(23&gt;Parameters!$C$150, Parameters!$C$83*Parameters!$C$154*(1+Parameters!$C$12)^22, 0)</f>
        <v>550000</v>
      </c>
      <c r="AA29" s="25">
        <f>IF(24&gt;Parameters!$C$150, Parameters!$C$83*Parameters!$C$154*(1+Parameters!$C$12)^23, 0)</f>
        <v>550000</v>
      </c>
      <c r="AB29" s="25">
        <f>IF(25&gt;Parameters!$C$150, Parameters!$C$83*Parameters!$C$154*(1+Parameters!$C$12)^24, 0)</f>
        <v>550000</v>
      </c>
      <c r="AC29" s="25">
        <f>IF(26&gt;Parameters!$C$150, Parameters!$C$83*Parameters!$C$154*(1+Parameters!$C$12)^25, 0)</f>
        <v>550000</v>
      </c>
      <c r="AD29" s="25">
        <f>IF(27&gt;Parameters!$C$150, Parameters!$C$83*Parameters!$C$154*(1+Parameters!$C$12)^26, 0)</f>
        <v>550000</v>
      </c>
      <c r="AE29" s="25">
        <f>IF(28&gt;Parameters!$C$150, Parameters!$C$83*Parameters!$C$154*(1+Parameters!$C$12)^27, 0)</f>
        <v>550000</v>
      </c>
      <c r="AF29" s="25">
        <f>IF(29&gt;Parameters!$C$150, Parameters!$C$83*Parameters!$C$154*(1+Parameters!$C$12)^28, 0)</f>
        <v>550000</v>
      </c>
      <c r="AG29" s="25">
        <f>IF(30&gt;Parameters!$C$150, Parameters!$C$83*Parameters!$C$154*(1+Parameters!$C$12)^29, 0)</f>
        <v>550000</v>
      </c>
    </row>
    <row r="30" spans="2:33" ht="15" customHeight="1" x14ac:dyDescent="0.2">
      <c r="B30" t="s">
        <v>683</v>
      </c>
      <c r="D30" s="25">
        <f>IF(1=Parameters!$C$150+1, -Parameters!$C$29, 0)</f>
        <v>0</v>
      </c>
      <c r="E30" s="25">
        <f>IF(2=Parameters!$C$150+1, -Parameters!$C$29, 0)</f>
        <v>0</v>
      </c>
      <c r="F30" s="25">
        <f>IF(3=Parameters!$C$150+1, -Parameters!$C$29, 0)</f>
        <v>-1000000</v>
      </c>
      <c r="G30" s="25">
        <f>IF(4=Parameters!$C$150+1, -Parameters!$C$29, 0)</f>
        <v>0</v>
      </c>
      <c r="H30" s="25">
        <f>IF(5=Parameters!$C$150+1, -Parameters!$C$29, 0)</f>
        <v>0</v>
      </c>
      <c r="I30" s="25">
        <f>IF(6=Parameters!$C$150+1, -Parameters!$C$29, 0)</f>
        <v>0</v>
      </c>
      <c r="J30" s="25">
        <f>IF(7=Parameters!$C$150+1, -Parameters!$C$29, 0)</f>
        <v>0</v>
      </c>
      <c r="K30" s="25">
        <f>IF(8=Parameters!$C$150+1, -Parameters!$C$29, 0)</f>
        <v>0</v>
      </c>
      <c r="L30" s="25">
        <f>IF(9=Parameters!$C$150+1, -Parameters!$C$29, 0)</f>
        <v>0</v>
      </c>
      <c r="M30" s="25">
        <f>IF(10=Parameters!$C$150+1, -Parameters!$C$29, 0)</f>
        <v>0</v>
      </c>
      <c r="N30" s="25">
        <f>IF(11=Parameters!$C$150+1, -Parameters!$C$29, 0)</f>
        <v>0</v>
      </c>
      <c r="O30" s="25">
        <f>IF(12=Parameters!$C$150+1, -Parameters!$C$29, 0)</f>
        <v>0</v>
      </c>
      <c r="P30" s="25">
        <f>IF(13=Parameters!$C$150+1, -Parameters!$C$29, 0)</f>
        <v>0</v>
      </c>
      <c r="Q30" s="25">
        <f>IF(14=Parameters!$C$150+1, -Parameters!$C$29, 0)</f>
        <v>0</v>
      </c>
      <c r="R30" s="25">
        <f>IF(15=Parameters!$C$150+1, -Parameters!$C$29, 0)</f>
        <v>0</v>
      </c>
      <c r="S30" s="25">
        <f>IF(16=Parameters!$C$150+1, -Parameters!$C$29, 0)</f>
        <v>0</v>
      </c>
      <c r="T30" s="25">
        <f>IF(17=Parameters!$C$150+1, -Parameters!$C$29, 0)</f>
        <v>0</v>
      </c>
      <c r="U30" s="25">
        <f>IF(18=Parameters!$C$150+1, -Parameters!$C$29, 0)</f>
        <v>0</v>
      </c>
      <c r="V30" s="25">
        <f>IF(19=Parameters!$C$150+1, -Parameters!$C$29, 0)</f>
        <v>0</v>
      </c>
      <c r="W30" s="25">
        <f>IF(20=Parameters!$C$150+1, -Parameters!$C$29, 0)</f>
        <v>0</v>
      </c>
      <c r="X30" s="25">
        <f>IF(21=Parameters!$C$150+1, -Parameters!$C$29, 0)</f>
        <v>0</v>
      </c>
      <c r="Y30" s="25">
        <f>IF(22=Parameters!$C$150+1, -Parameters!$C$29, 0)</f>
        <v>0</v>
      </c>
      <c r="Z30" s="25">
        <f>IF(23=Parameters!$C$150+1, -Parameters!$C$29, 0)</f>
        <v>0</v>
      </c>
      <c r="AA30" s="25">
        <f>IF(24=Parameters!$C$150+1, -Parameters!$C$29, 0)</f>
        <v>0</v>
      </c>
      <c r="AB30" s="25">
        <f>IF(25=Parameters!$C$150+1, -Parameters!$C$29, 0)</f>
        <v>0</v>
      </c>
      <c r="AC30" s="25">
        <f>IF(26=Parameters!$C$150+1, -Parameters!$C$29, 0)</f>
        <v>0</v>
      </c>
      <c r="AD30" s="25">
        <f>IF(27=Parameters!$C$150+1, -Parameters!$C$29, 0)</f>
        <v>0</v>
      </c>
      <c r="AE30" s="25">
        <f>IF(28=Parameters!$C$150+1, -Parameters!$C$29, 0)</f>
        <v>0</v>
      </c>
      <c r="AF30" s="25">
        <f>IF(29=Parameters!$C$150+1, -Parameters!$C$29, 0)</f>
        <v>0</v>
      </c>
      <c r="AG30" s="25">
        <f>IF(30=Parameters!$C$150+1, -Parameters!$C$29, 0)</f>
        <v>0</v>
      </c>
    </row>
    <row r="31" spans="2:33" ht="15" customHeight="1" x14ac:dyDescent="0.2">
      <c r="B31" t="s">
        <v>684</v>
      </c>
      <c r="D31" s="25">
        <f>Parameters!$C$131+Parameters!$C$142*Parameters!$C$150</f>
        <v>60000</v>
      </c>
      <c r="E31" s="81">
        <v>0</v>
      </c>
      <c r="F31" s="81">
        <v>0</v>
      </c>
      <c r="G31" s="81">
        <v>0</v>
      </c>
      <c r="H31" s="81">
        <v>0</v>
      </c>
      <c r="I31" s="81">
        <v>0</v>
      </c>
      <c r="J31" s="81">
        <v>0</v>
      </c>
      <c r="K31" s="81">
        <v>0</v>
      </c>
      <c r="L31" s="81">
        <v>0</v>
      </c>
      <c r="M31" s="81">
        <v>0</v>
      </c>
      <c r="N31" s="81">
        <v>0</v>
      </c>
      <c r="O31" s="81">
        <v>0</v>
      </c>
      <c r="P31" s="81">
        <v>0</v>
      </c>
      <c r="Q31" s="81">
        <v>0</v>
      </c>
      <c r="R31" s="81">
        <v>0</v>
      </c>
      <c r="S31" s="81">
        <v>0</v>
      </c>
      <c r="T31" s="81">
        <v>0</v>
      </c>
      <c r="U31" s="81">
        <v>0</v>
      </c>
      <c r="V31" s="81">
        <v>0</v>
      </c>
      <c r="W31" s="81">
        <v>0</v>
      </c>
      <c r="X31" s="81">
        <v>0</v>
      </c>
      <c r="Y31" s="81">
        <v>0</v>
      </c>
      <c r="Z31" s="81">
        <v>0</v>
      </c>
      <c r="AA31" s="81">
        <v>0</v>
      </c>
      <c r="AB31" s="81">
        <v>0</v>
      </c>
      <c r="AC31" s="81">
        <v>0</v>
      </c>
      <c r="AD31" s="81">
        <v>0</v>
      </c>
      <c r="AE31" s="81">
        <v>0</v>
      </c>
      <c r="AF31" s="81">
        <v>0</v>
      </c>
      <c r="AG31" s="81">
        <v>0</v>
      </c>
    </row>
    <row r="32" spans="2:33" ht="15" customHeight="1" x14ac:dyDescent="0.2">
      <c r="B32" s="63" t="s">
        <v>685</v>
      </c>
      <c r="C32" s="63"/>
      <c r="D32" s="64">
        <f t="shared" ref="D32:AG32" si="0">D27+D28+D29+D30+D31</f>
        <v>3168847.0419511436</v>
      </c>
      <c r="E32" s="64">
        <f t="shared" si="0"/>
        <v>3108847.0419511436</v>
      </c>
      <c r="F32" s="64">
        <f t="shared" si="0"/>
        <v>2426108.0419511436</v>
      </c>
      <c r="G32" s="64">
        <f t="shared" si="0"/>
        <v>3426108.0419511436</v>
      </c>
      <c r="H32" s="64">
        <f t="shared" si="0"/>
        <v>3426108.0419511436</v>
      </c>
      <c r="I32" s="64">
        <f t="shared" si="0"/>
        <v>3426108.0419511436</v>
      </c>
      <c r="J32" s="64">
        <f t="shared" si="0"/>
        <v>3426108.0419511436</v>
      </c>
      <c r="K32" s="64">
        <f t="shared" si="0"/>
        <v>3426108.0419511436</v>
      </c>
      <c r="L32" s="64">
        <f t="shared" si="0"/>
        <v>3426108.0419511436</v>
      </c>
      <c r="M32" s="64">
        <f t="shared" si="0"/>
        <v>3426108.0419511436</v>
      </c>
      <c r="N32" s="64">
        <f t="shared" si="0"/>
        <v>3426108.0419511436</v>
      </c>
      <c r="O32" s="64">
        <f t="shared" si="0"/>
        <v>3426108.0419511436</v>
      </c>
      <c r="P32" s="64">
        <f t="shared" si="0"/>
        <v>3426108.0419511436</v>
      </c>
      <c r="Q32" s="64">
        <f t="shared" si="0"/>
        <v>3426108.0419511436</v>
      </c>
      <c r="R32" s="64">
        <f t="shared" si="0"/>
        <v>3426108.0419511436</v>
      </c>
      <c r="S32" s="64">
        <f t="shared" si="0"/>
        <v>3426108.0419511436</v>
      </c>
      <c r="T32" s="64">
        <f t="shared" si="0"/>
        <v>3426108.0419511436</v>
      </c>
      <c r="U32" s="64">
        <f t="shared" si="0"/>
        <v>3426108.0419511436</v>
      </c>
      <c r="V32" s="64">
        <f t="shared" si="0"/>
        <v>3426108.0419511436</v>
      </c>
      <c r="W32" s="64">
        <f t="shared" si="0"/>
        <v>3426108.0419511436</v>
      </c>
      <c r="X32" s="64">
        <f t="shared" si="0"/>
        <v>3426108.0419511436</v>
      </c>
      <c r="Y32" s="64">
        <f t="shared" si="0"/>
        <v>3426108.0419511436</v>
      </c>
      <c r="Z32" s="64">
        <f t="shared" si="0"/>
        <v>3426108.0419511436</v>
      </c>
      <c r="AA32" s="64">
        <f t="shared" si="0"/>
        <v>3426108.0419511436</v>
      </c>
      <c r="AB32" s="64">
        <f t="shared" si="0"/>
        <v>3426108.0419511436</v>
      </c>
      <c r="AC32" s="64">
        <f t="shared" si="0"/>
        <v>3426108.0419511436</v>
      </c>
      <c r="AD32" s="64">
        <f t="shared" si="0"/>
        <v>3426108.0419511436</v>
      </c>
      <c r="AE32" s="64">
        <f t="shared" si="0"/>
        <v>3426108.0419511436</v>
      </c>
      <c r="AF32" s="64">
        <f t="shared" si="0"/>
        <v>3426108.0419511436</v>
      </c>
      <c r="AG32" s="64">
        <f t="shared" si="0"/>
        <v>3426108.0419511436</v>
      </c>
    </row>
    <row r="33" spans="2:33" ht="15" customHeight="1" x14ac:dyDescent="0.2">
      <c r="B33" t="s">
        <v>686</v>
      </c>
      <c r="D33" s="22">
        <f>-Benefits!D29</f>
        <v>0</v>
      </c>
      <c r="E33" s="22">
        <f>-Benefits!E29</f>
        <v>0</v>
      </c>
      <c r="F33" s="22">
        <f>-Benefits!F29</f>
        <v>-451428.57142857142</v>
      </c>
      <c r="G33" s="22">
        <f>-Benefits!G29</f>
        <v>-451428.57142857142</v>
      </c>
      <c r="H33" s="22">
        <f>-Benefits!H29</f>
        <v>-451428.57142857142</v>
      </c>
      <c r="I33" s="22">
        <f>-Benefits!I29</f>
        <v>-451428.57142857142</v>
      </c>
      <c r="J33" s="22">
        <f>-Benefits!J29</f>
        <v>-451428.57142857142</v>
      </c>
      <c r="K33" s="22">
        <f>-Benefits!K29</f>
        <v>-451428.57142857142</v>
      </c>
      <c r="L33" s="22">
        <f>-Benefits!L29</f>
        <v>-451428.57142857142</v>
      </c>
      <c r="M33" s="22">
        <f>-Benefits!M29</f>
        <v>-451428.57142857142</v>
      </c>
      <c r="N33" s="22">
        <f>-Benefits!N29</f>
        <v>-451428.57142857142</v>
      </c>
      <c r="O33" s="22">
        <f>-Benefits!O29</f>
        <v>-451428.57142857142</v>
      </c>
      <c r="P33" s="22">
        <f>-Benefits!P29</f>
        <v>-451428.57142857142</v>
      </c>
      <c r="Q33" s="22">
        <f>-Benefits!Q29</f>
        <v>-451428.57142857142</v>
      </c>
      <c r="R33" s="22">
        <f>-Benefits!R29</f>
        <v>-451428.57142857142</v>
      </c>
      <c r="S33" s="22">
        <f>-Benefits!S29</f>
        <v>-451428.57142857142</v>
      </c>
      <c r="T33" s="22">
        <f>-Benefits!T29</f>
        <v>-451428.57142857142</v>
      </c>
      <c r="U33" s="22">
        <f>-Benefits!U29</f>
        <v>-451428.57142857142</v>
      </c>
      <c r="V33" s="22">
        <f>-Benefits!V29</f>
        <v>-451428.57142857142</v>
      </c>
      <c r="W33" s="22">
        <f>-Benefits!W29</f>
        <v>-451428.57142857142</v>
      </c>
      <c r="X33" s="22">
        <f>-Benefits!X29</f>
        <v>-451428.57142857142</v>
      </c>
      <c r="Y33" s="22">
        <f>-Benefits!Y29</f>
        <v>-451428.57142857142</v>
      </c>
      <c r="Z33" s="22">
        <f>-Benefits!Z29</f>
        <v>-451428.57142857142</v>
      </c>
      <c r="AA33" s="22">
        <f>-Benefits!AA29</f>
        <v>-451428.57142857142</v>
      </c>
      <c r="AB33" s="22">
        <f>-Benefits!AB29</f>
        <v>-451428.57142857142</v>
      </c>
      <c r="AC33" s="22">
        <f>-Benefits!AC29</f>
        <v>-451428.57142857142</v>
      </c>
      <c r="AD33" s="22">
        <f>-Benefits!AD29</f>
        <v>-451428.57142857142</v>
      </c>
      <c r="AE33" s="22">
        <f>-Benefits!AE29</f>
        <v>-451428.57142857142</v>
      </c>
      <c r="AF33" s="22">
        <f>-Benefits!AF29</f>
        <v>-451428.57142857142</v>
      </c>
      <c r="AG33" s="22">
        <f>-Benefits!AG29</f>
        <v>0</v>
      </c>
    </row>
    <row r="34" spans="2:33" ht="15" customHeight="1" x14ac:dyDescent="0.2">
      <c r="B34" s="63" t="s">
        <v>687</v>
      </c>
      <c r="C34" s="63"/>
      <c r="D34" s="64">
        <f t="shared" ref="D34:AG34" si="1">D32+D33</f>
        <v>3168847.0419511436</v>
      </c>
      <c r="E34" s="64">
        <f t="shared" si="1"/>
        <v>3108847.0419511436</v>
      </c>
      <c r="F34" s="64">
        <f t="shared" si="1"/>
        <v>1974679.4705225723</v>
      </c>
      <c r="G34" s="64">
        <f t="shared" si="1"/>
        <v>2974679.4705225723</v>
      </c>
      <c r="H34" s="64">
        <f t="shared" si="1"/>
        <v>2974679.4705225723</v>
      </c>
      <c r="I34" s="64">
        <f t="shared" si="1"/>
        <v>2974679.4705225723</v>
      </c>
      <c r="J34" s="64">
        <f t="shared" si="1"/>
        <v>2974679.4705225723</v>
      </c>
      <c r="K34" s="64">
        <f t="shared" si="1"/>
        <v>2974679.4705225723</v>
      </c>
      <c r="L34" s="64">
        <f t="shared" si="1"/>
        <v>2974679.4705225723</v>
      </c>
      <c r="M34" s="64">
        <f t="shared" si="1"/>
        <v>2974679.4705225723</v>
      </c>
      <c r="N34" s="64">
        <f t="shared" si="1"/>
        <v>2974679.4705225723</v>
      </c>
      <c r="O34" s="64">
        <f t="shared" si="1"/>
        <v>2974679.4705225723</v>
      </c>
      <c r="P34" s="64">
        <f t="shared" si="1"/>
        <v>2974679.4705225723</v>
      </c>
      <c r="Q34" s="64">
        <f t="shared" si="1"/>
        <v>2974679.4705225723</v>
      </c>
      <c r="R34" s="64">
        <f t="shared" si="1"/>
        <v>2974679.4705225723</v>
      </c>
      <c r="S34" s="64">
        <f t="shared" si="1"/>
        <v>2974679.4705225723</v>
      </c>
      <c r="T34" s="64">
        <f t="shared" si="1"/>
        <v>2974679.4705225723</v>
      </c>
      <c r="U34" s="64">
        <f t="shared" si="1"/>
        <v>2974679.4705225723</v>
      </c>
      <c r="V34" s="64">
        <f t="shared" si="1"/>
        <v>2974679.4705225723</v>
      </c>
      <c r="W34" s="64">
        <f t="shared" si="1"/>
        <v>2974679.4705225723</v>
      </c>
      <c r="X34" s="64">
        <f t="shared" si="1"/>
        <v>2974679.4705225723</v>
      </c>
      <c r="Y34" s="64">
        <f t="shared" si="1"/>
        <v>2974679.4705225723</v>
      </c>
      <c r="Z34" s="64">
        <f t="shared" si="1"/>
        <v>2974679.4705225723</v>
      </c>
      <c r="AA34" s="64">
        <f t="shared" si="1"/>
        <v>2974679.4705225723</v>
      </c>
      <c r="AB34" s="64">
        <f t="shared" si="1"/>
        <v>2974679.4705225723</v>
      </c>
      <c r="AC34" s="64">
        <f t="shared" si="1"/>
        <v>2974679.4705225723</v>
      </c>
      <c r="AD34" s="64">
        <f t="shared" si="1"/>
        <v>2974679.4705225723</v>
      </c>
      <c r="AE34" s="64">
        <f t="shared" si="1"/>
        <v>2974679.4705225723</v>
      </c>
      <c r="AF34" s="64">
        <f t="shared" si="1"/>
        <v>2974679.4705225723</v>
      </c>
      <c r="AG34" s="64">
        <f t="shared" si="1"/>
        <v>3426108.0419511436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Overview</vt:lpstr>
      <vt:lpstr>Comparison</vt:lpstr>
      <vt:lpstr>Tax Levy Impact</vt:lpstr>
      <vt:lpstr>Assumptions</vt:lpstr>
      <vt:lpstr>Parameters</vt:lpstr>
      <vt:lpstr>Benefits</vt:lpstr>
      <vt:lpstr>Glossary</vt:lpstr>
      <vt:lpstr>Scenario A - Do Minimum</vt:lpstr>
      <vt:lpstr>Scenario B - Full Rebuild</vt:lpstr>
      <vt:lpstr>Scenario C - Split</vt:lpstr>
      <vt:lpstr>Scenario D - Purchase</vt:lpstr>
      <vt:lpstr>Scenario E - Purchase+DoMin 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Owen Robinson</cp:lastModifiedBy>
  <cp:revision>0</cp:revision>
  <dcterms:created xsi:type="dcterms:W3CDTF">2026-06-10T16:15:40Z</dcterms:created>
  <dcterms:modified xsi:type="dcterms:W3CDTF">2026-06-21T17:11:36Z</dcterms:modified>
  <dc:language>en-US</dc:language>
</cp:coreProperties>
</file>